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D RESPALDO\00 YOUTUBE TAX Y ALAN B\Nueva carpeta\"/>
    </mc:Choice>
  </mc:AlternateContent>
  <bookViews>
    <workbookView xWindow="0" yWindow="0" windowWidth="20490" windowHeight="7650" activeTab="1"/>
  </bookViews>
  <sheets>
    <sheet name="TARIFAS ANEXO 8" sheetId="1" r:id="rId1"/>
    <sheet name="ISR " sheetId="2" r:id="rId2"/>
    <sheet name="ISR ANUAL " sheetId="6" r:id="rId3"/>
    <sheet name="IVA " sheetId="3" r:id="rId4"/>
    <sheet name="Hoja7" sheetId="7" state="hidden" r:id="rId5"/>
    <sheet name="INVERSION DEDUCCIONES" sheetId="4" r:id="rId6"/>
    <sheet name="VENTA ACTIVO FIJO" sheetId="5" r:id="rId7"/>
    <sheet name="PERDIDA FISCAL " sheetId="8" r:id="rId8"/>
    <sheet name="INPC" sheetId="9" r:id="rId9"/>
  </sheets>
  <externalReferences>
    <externalReference r:id="rId10"/>
    <externalReference r:id="rId11"/>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3" i="6" l="1"/>
  <c r="F36" i="6" s="1"/>
  <c r="G39" i="6" s="1"/>
  <c r="G19" i="6"/>
  <c r="P36" i="2"/>
  <c r="N38" i="2"/>
  <c r="C38" i="2"/>
  <c r="P32" i="2"/>
  <c r="P28" i="2"/>
  <c r="P24" i="2"/>
  <c r="P20" i="2"/>
  <c r="P19" i="2"/>
  <c r="G22" i="2"/>
  <c r="P11" i="2"/>
  <c r="C14" i="2"/>
  <c r="C17" i="2" s="1"/>
  <c r="D17" i="2" s="1"/>
  <c r="E17" i="2" s="1"/>
  <c r="F17" i="2" s="1"/>
  <c r="G17" i="2" s="1"/>
  <c r="H17" i="2" s="1"/>
  <c r="I17" i="2" s="1"/>
  <c r="J17" i="2" s="1"/>
  <c r="K17" i="2" s="1"/>
  <c r="L17" i="2" s="1"/>
  <c r="M17" i="2" s="1"/>
  <c r="N17" i="2" s="1"/>
  <c r="P17" i="2" s="1"/>
  <c r="J13" i="4"/>
  <c r="J23" i="4"/>
  <c r="J3" i="4"/>
  <c r="J7" i="4"/>
  <c r="P22" i="2" l="1"/>
  <c r="G21" i="6" l="1"/>
  <c r="Y48" i="8" l="1"/>
  <c r="Z39" i="8"/>
  <c r="Z38" i="8"/>
  <c r="Z43" i="8" s="1"/>
  <c r="BD29" i="8"/>
  <c r="AU24" i="8"/>
  <c r="Z24" i="8"/>
  <c r="G21" i="8"/>
  <c r="H19" i="8" s="1"/>
  <c r="G20" i="8"/>
  <c r="D20" i="8"/>
  <c r="D21" i="8" s="1"/>
  <c r="E19" i="8" s="1"/>
  <c r="BD17" i="8"/>
  <c r="BC17" i="8"/>
  <c r="BB17" i="8"/>
  <c r="AI17" i="8"/>
  <c r="AH17" i="8"/>
  <c r="AN16" i="8"/>
  <c r="AN14" i="8"/>
  <c r="D11" i="8"/>
  <c r="D13" i="8" s="1"/>
  <c r="D15" i="8" s="1"/>
  <c r="O10" i="8"/>
  <c r="N10" i="8"/>
  <c r="M10" i="8"/>
  <c r="L10" i="8"/>
  <c r="K10" i="8"/>
  <c r="J10" i="8"/>
  <c r="I10" i="8"/>
  <c r="H10" i="8"/>
  <c r="G10" i="8"/>
  <c r="F10" i="8"/>
  <c r="E10" i="8"/>
  <c r="D10" i="8"/>
  <c r="I53" i="5"/>
  <c r="J53" i="5" s="1"/>
  <c r="C51" i="5"/>
  <c r="C50" i="5"/>
  <c r="C49" i="5"/>
  <c r="F49" i="5" s="1"/>
  <c r="C34" i="5"/>
  <c r="F50" i="5" s="1"/>
  <c r="C33" i="5"/>
  <c r="C21" i="5"/>
  <c r="C23" i="5" s="1"/>
  <c r="C25" i="5" s="1"/>
  <c r="C27" i="5" s="1"/>
  <c r="F18" i="5"/>
  <c r="I8" i="5"/>
  <c r="I7" i="5"/>
  <c r="O6" i="5"/>
  <c r="C19" i="5" s="1"/>
  <c r="C26" i="5" s="1"/>
  <c r="I6" i="5"/>
  <c r="I5" i="5"/>
  <c r="F51" i="5" l="1"/>
  <c r="C28" i="5"/>
  <c r="C29" i="5" s="1"/>
  <c r="F19" i="5" s="1"/>
  <c r="F21" i="5" s="1"/>
  <c r="K54" i="5" s="1"/>
  <c r="E20" i="8"/>
  <c r="E21" i="8" s="1"/>
  <c r="F19" i="8" s="1"/>
  <c r="E11" i="8"/>
  <c r="Z40" i="8"/>
  <c r="J57" i="5"/>
  <c r="J59" i="5" s="1"/>
  <c r="K53" i="5"/>
  <c r="I57" i="5"/>
  <c r="I59" i="5" s="1"/>
  <c r="I61" i="5" s="1"/>
  <c r="I62" i="5" s="1"/>
  <c r="J60" i="5" s="1"/>
  <c r="F20" i="8" l="1"/>
  <c r="F21" i="8" s="1"/>
  <c r="AA43" i="8"/>
  <c r="AO14" i="8"/>
  <c r="E13" i="8"/>
  <c r="E15" i="8" s="1"/>
  <c r="F11" i="8"/>
  <c r="K55" i="5"/>
  <c r="K57" i="5" s="1"/>
  <c r="K59" i="5" s="1"/>
  <c r="J61" i="5"/>
  <c r="J62" i="5" s="1"/>
  <c r="K60" i="5" s="1"/>
  <c r="G11" i="8" l="1"/>
  <c r="F13" i="8"/>
  <c r="F15" i="8" s="1"/>
  <c r="AO16" i="8"/>
  <c r="AU23" i="8" s="1"/>
  <c r="AU26" i="8" s="1"/>
  <c r="BD19" i="8" s="1"/>
  <c r="BD21" i="8" s="1"/>
  <c r="AM21" i="8"/>
  <c r="AM22" i="8" s="1"/>
  <c r="K61" i="5"/>
  <c r="K62" i="5" s="1"/>
  <c r="H11" i="8" l="1"/>
  <c r="G13" i="8"/>
  <c r="G15" i="8" s="1"/>
  <c r="I11" i="8" l="1"/>
  <c r="H13" i="8"/>
  <c r="H15" i="8" s="1"/>
  <c r="H18" i="8" s="1"/>
  <c r="H20" i="8" s="1"/>
  <c r="H21" i="8" s="1"/>
  <c r="I19" i="8" s="1"/>
  <c r="I13" i="8" l="1"/>
  <c r="I15" i="8" s="1"/>
  <c r="I18" i="8" s="1"/>
  <c r="I20" i="8" s="1"/>
  <c r="I21" i="8" s="1"/>
  <c r="J19" i="8" s="1"/>
  <c r="J11" i="8"/>
  <c r="K11" i="8" l="1"/>
  <c r="J13" i="8"/>
  <c r="J15" i="8" s="1"/>
  <c r="J18" i="8" s="1"/>
  <c r="J20" i="8" s="1"/>
  <c r="J21" i="8" s="1"/>
  <c r="K19" i="8" s="1"/>
  <c r="K21" i="8" l="1"/>
  <c r="L19" i="8" s="1"/>
  <c r="K13" i="8"/>
  <c r="K15" i="8" s="1"/>
  <c r="K18" i="8" s="1"/>
  <c r="K20" i="8" s="1"/>
  <c r="L11" i="8"/>
  <c r="L13" i="8" l="1"/>
  <c r="L15" i="8" s="1"/>
  <c r="L18" i="8" s="1"/>
  <c r="L20" i="8" s="1"/>
  <c r="L21" i="8" s="1"/>
  <c r="M19" i="8" s="1"/>
  <c r="M11" i="8"/>
  <c r="M13" i="8" l="1"/>
  <c r="M15" i="8" s="1"/>
  <c r="M18" i="8" s="1"/>
  <c r="M20" i="8" s="1"/>
  <c r="M21" i="8" s="1"/>
  <c r="N19" i="8" s="1"/>
  <c r="N11" i="8"/>
  <c r="O11" i="8" l="1"/>
  <c r="O13" i="8" s="1"/>
  <c r="O15" i="8" s="1"/>
  <c r="O18" i="8" s="1"/>
  <c r="N13" i="8"/>
  <c r="N15" i="8" s="1"/>
  <c r="N18" i="8" s="1"/>
  <c r="N20" i="8" s="1"/>
  <c r="N21" i="8" s="1"/>
  <c r="O19" i="8" s="1"/>
  <c r="O20" i="8" l="1"/>
  <c r="O21" i="8" s="1"/>
  <c r="J17" i="4" l="1"/>
  <c r="J11" i="4"/>
  <c r="G11" i="4"/>
  <c r="O10" i="4"/>
  <c r="O9" i="4"/>
  <c r="O8" i="4"/>
  <c r="O7" i="4"/>
  <c r="G8" i="4"/>
  <c r="O40" i="4"/>
  <c r="O39" i="4"/>
  <c r="L37" i="4"/>
  <c r="K37" i="4"/>
  <c r="M37" i="4" s="1"/>
  <c r="J37" i="4"/>
  <c r="O37" i="4" s="1"/>
  <c r="G38" i="4" s="1"/>
  <c r="O38" i="4" s="1"/>
  <c r="O30" i="4"/>
  <c r="O29" i="4"/>
  <c r="K28" i="4"/>
  <c r="M28" i="4" s="1"/>
  <c r="J28" i="4"/>
  <c r="L27" i="4"/>
  <c r="K27" i="4"/>
  <c r="J27" i="4"/>
  <c r="O27" i="4" s="1"/>
  <c r="K19" i="4"/>
  <c r="M19" i="4" s="1"/>
  <c r="J19" i="4"/>
  <c r="K18" i="4"/>
  <c r="M18" i="4" s="1"/>
  <c r="J18" i="4"/>
  <c r="L17" i="4"/>
  <c r="K17" i="4"/>
  <c r="M17" i="4" s="1"/>
  <c r="O17" i="4"/>
  <c r="G18" i="4" s="1"/>
  <c r="K10" i="4"/>
  <c r="M10" i="4" s="1"/>
  <c r="J10" i="4"/>
  <c r="K9" i="4"/>
  <c r="M9" i="4" s="1"/>
  <c r="N9" i="4" s="1"/>
  <c r="J9" i="4"/>
  <c r="K8" i="4"/>
  <c r="M8" i="4" s="1"/>
  <c r="J8" i="4"/>
  <c r="L7" i="4"/>
  <c r="K7" i="4"/>
  <c r="N37" i="4" l="1"/>
  <c r="O28" i="4"/>
  <c r="N28" i="4"/>
  <c r="N19" i="4"/>
  <c r="O18" i="4"/>
  <c r="G19" i="4" s="1"/>
  <c r="O19" i="4" s="1"/>
  <c r="G20" i="4" s="1"/>
  <c r="O20" i="4" s="1"/>
  <c r="M7" i="4"/>
  <c r="N7" i="4" s="1"/>
  <c r="M27" i="4"/>
  <c r="N27" i="4" s="1"/>
  <c r="N10" i="4"/>
  <c r="N17" i="4"/>
  <c r="N18" i="4"/>
  <c r="N8" i="4"/>
  <c r="G9" i="4"/>
  <c r="G10" i="4" s="1"/>
  <c r="N23" i="4" l="1"/>
  <c r="C24" i="3" l="1"/>
  <c r="O24" i="3" s="1"/>
  <c r="C9" i="3"/>
  <c r="O9" i="3" s="1"/>
  <c r="N33" i="3"/>
  <c r="M33" i="3"/>
  <c r="L33" i="3"/>
  <c r="K33" i="3"/>
  <c r="J33" i="3"/>
  <c r="I33" i="3"/>
  <c r="H33" i="3"/>
  <c r="G33" i="3"/>
  <c r="F33" i="3"/>
  <c r="E33" i="3"/>
  <c r="D33" i="3"/>
  <c r="O33" i="3" s="1"/>
  <c r="O32" i="3"/>
  <c r="N31" i="3"/>
  <c r="M31" i="3"/>
  <c r="L31" i="3"/>
  <c r="K31" i="3"/>
  <c r="J31" i="3"/>
  <c r="J34" i="3" s="1"/>
  <c r="I31" i="3"/>
  <c r="I34" i="3" s="1"/>
  <c r="H31" i="3"/>
  <c r="H34" i="3" s="1"/>
  <c r="G31" i="3"/>
  <c r="O31" i="3" s="1"/>
  <c r="F31" i="3"/>
  <c r="E31" i="3"/>
  <c r="D31" i="3"/>
  <c r="C31" i="3"/>
  <c r="N30" i="3"/>
  <c r="N34" i="3" s="1"/>
  <c r="M30" i="3"/>
  <c r="M34" i="3" s="1"/>
  <c r="L30" i="3"/>
  <c r="L34" i="3" s="1"/>
  <c r="K30" i="3"/>
  <c r="K34" i="3" s="1"/>
  <c r="J30" i="3"/>
  <c r="H30" i="3"/>
  <c r="G30" i="3"/>
  <c r="F30" i="3"/>
  <c r="F34" i="3" s="1"/>
  <c r="E30" i="3"/>
  <c r="E34" i="3" s="1"/>
  <c r="D30" i="3"/>
  <c r="D34" i="3" s="1"/>
  <c r="N28" i="3"/>
  <c r="M28" i="3"/>
  <c r="L28" i="3"/>
  <c r="K28" i="3"/>
  <c r="J28" i="3"/>
  <c r="I28" i="3"/>
  <c r="H28" i="3"/>
  <c r="G28" i="3"/>
  <c r="F28" i="3"/>
  <c r="E28" i="3"/>
  <c r="D28" i="3"/>
  <c r="O27" i="3"/>
  <c r="O26" i="3"/>
  <c r="O25" i="3"/>
  <c r="J21" i="3"/>
  <c r="I21" i="3"/>
  <c r="H21" i="3"/>
  <c r="H37" i="3" s="1"/>
  <c r="O20" i="3"/>
  <c r="N19" i="3"/>
  <c r="M19" i="3"/>
  <c r="L19" i="3"/>
  <c r="K19" i="3"/>
  <c r="J19" i="3"/>
  <c r="I19" i="3"/>
  <c r="H19" i="3"/>
  <c r="G19" i="3"/>
  <c r="G21" i="3" s="1"/>
  <c r="F19" i="3"/>
  <c r="O19" i="3" s="1"/>
  <c r="E19" i="3"/>
  <c r="D19" i="3"/>
  <c r="C19" i="3"/>
  <c r="N18" i="3"/>
  <c r="N21" i="3" s="1"/>
  <c r="M18" i="3"/>
  <c r="M21" i="3" s="1"/>
  <c r="L18" i="3"/>
  <c r="L21" i="3" s="1"/>
  <c r="K18" i="3"/>
  <c r="K21" i="3" s="1"/>
  <c r="J18" i="3"/>
  <c r="I18" i="3"/>
  <c r="H18" i="3"/>
  <c r="G18" i="3"/>
  <c r="F18" i="3"/>
  <c r="F21" i="3" s="1"/>
  <c r="E18" i="3"/>
  <c r="E21" i="3" s="1"/>
  <c r="D18" i="3"/>
  <c r="D21" i="3" s="1"/>
  <c r="N16" i="3"/>
  <c r="M16" i="3"/>
  <c r="L16" i="3"/>
  <c r="K16" i="3"/>
  <c r="J16" i="3"/>
  <c r="I16" i="3"/>
  <c r="H16" i="3"/>
  <c r="G16" i="3"/>
  <c r="F16" i="3"/>
  <c r="E16" i="3"/>
  <c r="D16" i="3"/>
  <c r="O15" i="3"/>
  <c r="O14" i="3"/>
  <c r="O13" i="3"/>
  <c r="O12" i="3"/>
  <c r="O11" i="3"/>
  <c r="O10" i="3"/>
  <c r="P13" i="2"/>
  <c r="P38" i="2"/>
  <c r="J20" i="2"/>
  <c r="K20" i="2" s="1"/>
  <c r="L20" i="2" s="1"/>
  <c r="M20" i="2" s="1"/>
  <c r="N20" i="2" s="1"/>
  <c r="C11" i="2"/>
  <c r="C28" i="3" l="1"/>
  <c r="C30" i="3"/>
  <c r="C34" i="3" s="1"/>
  <c r="O28" i="3"/>
  <c r="C18" i="3"/>
  <c r="C21" i="3" s="1"/>
  <c r="C16" i="3"/>
  <c r="O16" i="3" s="1"/>
  <c r="K38" i="3"/>
  <c r="K37" i="3"/>
  <c r="D38" i="3"/>
  <c r="D37" i="3"/>
  <c r="E37" i="3"/>
  <c r="E38" i="3"/>
  <c r="M37" i="3"/>
  <c r="M38" i="3"/>
  <c r="I37" i="3"/>
  <c r="L38" i="3"/>
  <c r="L37" i="3"/>
  <c r="F37" i="3"/>
  <c r="F38" i="3"/>
  <c r="N37" i="3"/>
  <c r="N38" i="3"/>
  <c r="J38" i="3"/>
  <c r="J37" i="3"/>
  <c r="G34" i="3"/>
  <c r="H38" i="3"/>
  <c r="I38" i="3"/>
  <c r="C22" i="2"/>
  <c r="D11" i="2"/>
  <c r="D22" i="2" s="1"/>
  <c r="O30" i="3" l="1"/>
  <c r="C38" i="3"/>
  <c r="O38" i="3" s="1"/>
  <c r="O18" i="3"/>
  <c r="O21" i="3" s="1"/>
  <c r="C37" i="3"/>
  <c r="C40" i="3" s="1"/>
  <c r="O34" i="3"/>
  <c r="G38" i="3"/>
  <c r="G37" i="3"/>
  <c r="C24" i="2"/>
  <c r="C26" i="2" s="1"/>
  <c r="C32" i="2"/>
  <c r="C28" i="2"/>
  <c r="E11" i="2"/>
  <c r="P26" i="2"/>
  <c r="O37" i="3" l="1"/>
  <c r="C41" i="3"/>
  <c r="D39" i="3" s="1"/>
  <c r="D40" i="3" s="1"/>
  <c r="D41" i="3" s="1"/>
  <c r="E39" i="3" s="1"/>
  <c r="E40" i="3" s="1"/>
  <c r="E41" i="3" s="1"/>
  <c r="F39" i="3" s="1"/>
  <c r="F40" i="3" s="1"/>
  <c r="F41" i="3" s="1"/>
  <c r="G39" i="3" s="1"/>
  <c r="G40" i="3" s="1"/>
  <c r="G41" i="3" s="1"/>
  <c r="H39" i="3" s="1"/>
  <c r="H40" i="3" s="1"/>
  <c r="H41" i="3" s="1"/>
  <c r="I39" i="3" s="1"/>
  <c r="I40" i="3" s="1"/>
  <c r="I41" i="3" s="1"/>
  <c r="J39" i="3" s="1"/>
  <c r="J40" i="3" s="1"/>
  <c r="J41" i="3" s="1"/>
  <c r="K39" i="3" s="1"/>
  <c r="K40" i="3" s="1"/>
  <c r="K41" i="3" s="1"/>
  <c r="L39" i="3" s="1"/>
  <c r="L40" i="3" s="1"/>
  <c r="L41" i="3" s="1"/>
  <c r="M39" i="3" s="1"/>
  <c r="M40" i="3" s="1"/>
  <c r="M41" i="3" s="1"/>
  <c r="N39" i="3" s="1"/>
  <c r="N40" i="3" s="1"/>
  <c r="N41" i="3" s="1"/>
  <c r="O39" i="3" s="1"/>
  <c r="C30" i="2"/>
  <c r="C34" i="2" s="1"/>
  <c r="C41" i="2" s="1"/>
  <c r="D36" i="2" s="1"/>
  <c r="D41" i="2" s="1"/>
  <c r="D32" i="2"/>
  <c r="D28" i="2"/>
  <c r="D24" i="2"/>
  <c r="D26" i="2" s="1"/>
  <c r="P30" i="2"/>
  <c r="P34" i="2" s="1"/>
  <c r="F11" i="2"/>
  <c r="E22" i="2"/>
  <c r="D30" i="2" l="1"/>
  <c r="D34" i="2" s="1"/>
  <c r="E36" i="2" s="1"/>
  <c r="E41" i="2" s="1"/>
  <c r="O40" i="3"/>
  <c r="E28" i="2"/>
  <c r="E32" i="2"/>
  <c r="E24" i="2"/>
  <c r="E26" i="2" s="1"/>
  <c r="G11" i="2"/>
  <c r="F22" i="2"/>
  <c r="F32" i="2" l="1"/>
  <c r="F28" i="2"/>
  <c r="F24" i="2"/>
  <c r="F26" i="2" s="1"/>
  <c r="E30" i="2"/>
  <c r="E34" i="2" s="1"/>
  <c r="F36" i="2" s="1"/>
  <c r="F41" i="2" s="1"/>
  <c r="H11" i="2"/>
  <c r="G24" i="2" l="1"/>
  <c r="G26" i="2" s="1"/>
  <c r="G28" i="2"/>
  <c r="G32" i="2"/>
  <c r="F30" i="2"/>
  <c r="F34" i="2" s="1"/>
  <c r="G36" i="2" s="1"/>
  <c r="G41" i="2" s="1"/>
  <c r="I11" i="2"/>
  <c r="H22" i="2"/>
  <c r="H28" i="2" l="1"/>
  <c r="H24" i="2"/>
  <c r="H26" i="2" s="1"/>
  <c r="H32" i="2"/>
  <c r="G30" i="2"/>
  <c r="G34" i="2" s="1"/>
  <c r="H36" i="2" s="1"/>
  <c r="H41" i="2" s="1"/>
  <c r="J11" i="2"/>
  <c r="I22" i="2"/>
  <c r="I32" i="2" l="1"/>
  <c r="I28" i="2"/>
  <c r="I24" i="2"/>
  <c r="I26" i="2" s="1"/>
  <c r="H30" i="2"/>
  <c r="H34" i="2" s="1"/>
  <c r="I36" i="2" s="1"/>
  <c r="I41" i="2" s="1"/>
  <c r="J22" i="2"/>
  <c r="K11" i="2"/>
  <c r="J32" i="2" l="1"/>
  <c r="J28" i="2"/>
  <c r="J24" i="2"/>
  <c r="J26" i="2" s="1"/>
  <c r="I30" i="2"/>
  <c r="I34" i="2" s="1"/>
  <c r="J36" i="2" s="1"/>
  <c r="J41" i="2" s="1"/>
  <c r="K22" i="2"/>
  <c r="L11" i="2"/>
  <c r="J30" i="2" l="1"/>
  <c r="J34" i="2" s="1"/>
  <c r="K36" i="2" s="1"/>
  <c r="K41" i="2" s="1"/>
  <c r="K32" i="2"/>
  <c r="K24" i="2"/>
  <c r="K26" i="2" s="1"/>
  <c r="K28" i="2"/>
  <c r="L22" i="2"/>
  <c r="M11" i="2"/>
  <c r="L28" i="2" l="1"/>
  <c r="L24" i="2"/>
  <c r="L26" i="2" s="1"/>
  <c r="L32" i="2"/>
  <c r="K30" i="2"/>
  <c r="K34" i="2" s="1"/>
  <c r="L36" i="2" s="1"/>
  <c r="L41" i="2" s="1"/>
  <c r="N11" i="2"/>
  <c r="N22" i="2" s="1"/>
  <c r="M22" i="2"/>
  <c r="L30" i="2" l="1"/>
  <c r="M32" i="2"/>
  <c r="M28" i="2"/>
  <c r="M24" i="2"/>
  <c r="M26" i="2" s="1"/>
  <c r="N32" i="2"/>
  <c r="N28" i="2"/>
  <c r="N24" i="2"/>
  <c r="N26" i="2" s="1"/>
  <c r="L34" i="2"/>
  <c r="M36" i="2" s="1"/>
  <c r="M41" i="2" s="1"/>
  <c r="N36" i="2" s="1"/>
  <c r="M30" i="2" l="1"/>
  <c r="M34" i="2" s="1"/>
  <c r="N41" i="2" s="1"/>
  <c r="P41" i="2" s="1"/>
  <c r="N30" i="2"/>
  <c r="N34" i="2" s="1"/>
  <c r="G13" i="6" l="1"/>
  <c r="G15" i="6"/>
  <c r="G23" i="6" s="1"/>
  <c r="G28" i="6" l="1"/>
  <c r="G26" i="6"/>
  <c r="G24" i="6"/>
  <c r="G25" i="6" s="1"/>
  <c r="G27" i="6" l="1"/>
  <c r="G29" i="6" s="1"/>
  <c r="G31" i="6" s="1"/>
  <c r="G38" i="6" s="1"/>
</calcChain>
</file>

<file path=xl/sharedStrings.xml><?xml version="1.0" encoding="utf-8"?>
<sst xmlns="http://schemas.openxmlformats.org/spreadsheetml/2006/main" count="549" uniqueCount="319">
  <si>
    <t xml:space="preserve"> </t>
  </si>
  <si>
    <t>Tarifas mensuales de pagos provisionales de ISR para 
Personas Físicas con Actividad Empresarial:</t>
  </si>
  <si>
    <t>Enero</t>
  </si>
  <si>
    <t>Febrero</t>
  </si>
  <si>
    <t>Límite inferior en $</t>
  </si>
  <si>
    <t>Límite superior en $</t>
  </si>
  <si>
    <t>Cuota fija en $</t>
  </si>
  <si>
    <r>
      <t>Porcentaje</t>
    </r>
    <r>
      <rPr>
        <sz val="11"/>
        <color theme="1"/>
        <rFont val="Calibri"/>
        <family val="2"/>
        <scheme val="minor"/>
      </rPr>
      <t> </t>
    </r>
    <r>
      <rPr>
        <b/>
        <sz val="11"/>
        <color theme="1"/>
        <rFont val="Calibri"/>
        <family val="2"/>
        <scheme val="minor"/>
      </rPr>
      <t>para aplicarse sobre el excedente del límite inferior</t>
    </r>
  </si>
  <si>
    <t>En adelante</t>
  </si>
  <si>
    <t>Marzo</t>
  </si>
  <si>
    <t>Abril</t>
  </si>
  <si>
    <t>Mayo</t>
  </si>
  <si>
    <t>Junio</t>
  </si>
  <si>
    <t>Julio</t>
  </si>
  <si>
    <t>Agosto</t>
  </si>
  <si>
    <t>Septiembre</t>
  </si>
  <si>
    <t>Octubre</t>
  </si>
  <si>
    <t>Noviembre</t>
  </si>
  <si>
    <t>Diciembre</t>
  </si>
  <si>
    <t>PAGOS PROVISIONALES</t>
  </si>
  <si>
    <t xml:space="preserve">REGIMEN DE PERSONAS FISICAS CON ACTIVIDADES EMPRESARIALES Y PROFESIONALES </t>
  </si>
  <si>
    <t>ENERO</t>
  </si>
  <si>
    <t>FEBRERO</t>
  </si>
  <si>
    <t>MARZO</t>
  </si>
  <si>
    <t>ABRIL</t>
  </si>
  <si>
    <t>MAYO</t>
  </si>
  <si>
    <t>JUNIO</t>
  </si>
  <si>
    <t>JULIO</t>
  </si>
  <si>
    <t>AGOSTO</t>
  </si>
  <si>
    <t>SEPTIEMBRE</t>
  </si>
  <si>
    <t>OCTUBRE</t>
  </si>
  <si>
    <t>NOVIEMBRE</t>
  </si>
  <si>
    <t>DICIEMBRE</t>
  </si>
  <si>
    <t>INGRESO ACT. EPM.</t>
  </si>
  <si>
    <t>INGRESOS ACUMULABLES</t>
  </si>
  <si>
    <t>total</t>
  </si>
  <si>
    <t>DEDUCCIONES PERSONALES</t>
  </si>
  <si>
    <t>SUELDOS Y SALARIOS</t>
  </si>
  <si>
    <t>DEDUCCIONES IMSS/NOMINA</t>
  </si>
  <si>
    <t xml:space="preserve">DEDUCCIONES GENERALES </t>
  </si>
  <si>
    <t>TOTAL DE DEDUCCIONES</t>
  </si>
  <si>
    <t>PTU PAGADA EN EL EJERCICIO</t>
  </si>
  <si>
    <t>PERIDA FISCAL EJ. ANTES.</t>
  </si>
  <si>
    <t>BASE GRAVABLE</t>
  </si>
  <si>
    <t xml:space="preserve"> - LIMITE INFERIOR</t>
  </si>
  <si>
    <t xml:space="preserve"> = EXCEDENTE S/LIM INF.</t>
  </si>
  <si>
    <t xml:space="preserve"> x % DE TASA</t>
  </si>
  <si>
    <t xml:space="preserve"> = IMPUESTO MARGINAL</t>
  </si>
  <si>
    <t xml:space="preserve"> + CUOTA FIJA</t>
  </si>
  <si>
    <t xml:space="preserve"> = IMPUESTO DETERMINADO</t>
  </si>
  <si>
    <t xml:space="preserve"> - PAGO PROVISIONAL</t>
  </si>
  <si>
    <t xml:space="preserve"> - SUBSIDIO PARA EL EMPLEO</t>
  </si>
  <si>
    <t xml:space="preserve"> - I.S.R. RETENIDO</t>
  </si>
  <si>
    <t xml:space="preserve"> = ISR POR PAGAR</t>
  </si>
  <si>
    <t xml:space="preserve">DEDUCCION DE INVERSIONES </t>
  </si>
  <si>
    <t xml:space="preserve">DETERMINACION DE IVA </t>
  </si>
  <si>
    <t xml:space="preserve">PERSONAS FISICAS CON ACTIVIDADES EMPRESARIALES </t>
  </si>
  <si>
    <t>Cta. Ing. X Vta</t>
  </si>
  <si>
    <t>Concepto</t>
  </si>
  <si>
    <t>Ene</t>
  </si>
  <si>
    <t>Feb</t>
  </si>
  <si>
    <t>Mar</t>
  </si>
  <si>
    <t>Abr</t>
  </si>
  <si>
    <t>May</t>
  </si>
  <si>
    <t>Jun</t>
  </si>
  <si>
    <t>Jul</t>
  </si>
  <si>
    <t>Ago</t>
  </si>
  <si>
    <t>Sep</t>
  </si>
  <si>
    <t>Oct</t>
  </si>
  <si>
    <t>Nov</t>
  </si>
  <si>
    <t>Dic</t>
  </si>
  <si>
    <t>TOTAL</t>
  </si>
  <si>
    <t>IVA CAUSADO</t>
  </si>
  <si>
    <t>Ingresos Gravados al 16%</t>
  </si>
  <si>
    <t>Ingresos Gravados al 8%</t>
  </si>
  <si>
    <t>Ingresos Gravados al 0%</t>
  </si>
  <si>
    <t>Ingresos Exentos</t>
  </si>
  <si>
    <t>Ingresos Gravados al 15%</t>
  </si>
  <si>
    <t>Ingresos Gravados al 10%</t>
  </si>
  <si>
    <t>Otras Bases</t>
  </si>
  <si>
    <t>Total Ingresos</t>
  </si>
  <si>
    <t>IVA trasladado al 16%</t>
  </si>
  <si>
    <t>IVA trasladado al 8%</t>
  </si>
  <si>
    <t>IVA Retenido</t>
  </si>
  <si>
    <t>Total IVA Trasladado</t>
  </si>
  <si>
    <t>IVA ACREDITABLE</t>
  </si>
  <si>
    <t>Base gravable al 16%</t>
  </si>
  <si>
    <t>Base gravable al 8%</t>
  </si>
  <si>
    <t>Base gravable al 0%</t>
  </si>
  <si>
    <t>Base gravable exenta</t>
  </si>
  <si>
    <t>Total Base IVA Acreditable</t>
  </si>
  <si>
    <t>IVA Acreditable al 16%</t>
  </si>
  <si>
    <t>IVA Acreditable al 8%</t>
  </si>
  <si>
    <t>IVA Retenido Meses Anteriores</t>
  </si>
  <si>
    <t>Total IVA Acreditable</t>
  </si>
  <si>
    <t>Determinación del IVA</t>
  </si>
  <si>
    <t>IVA a cargo del periodo</t>
  </si>
  <si>
    <t>IVA a favor del periodo</t>
  </si>
  <si>
    <t>IVA pendiente por acreditar</t>
  </si>
  <si>
    <t xml:space="preserve">IVA a cargo   </t>
  </si>
  <si>
    <t>IVA a favor</t>
  </si>
  <si>
    <t>FECHA</t>
  </si>
  <si>
    <t>FACT</t>
  </si>
  <si>
    <t>POLIZA</t>
  </si>
  <si>
    <t>MOI</t>
  </si>
  <si>
    <t>% ANUAL</t>
  </si>
  <si>
    <t>DEPREC</t>
  </si>
  <si>
    <t xml:space="preserve">POR </t>
  </si>
  <si>
    <t>MESES USO</t>
  </si>
  <si>
    <t>DEP.CONTABLE</t>
  </si>
  <si>
    <t>INPC ULTIMO</t>
  </si>
  <si>
    <t>INPC</t>
  </si>
  <si>
    <t>FACTOR</t>
  </si>
  <si>
    <t xml:space="preserve">DEDUCCION FISCAL DE INVERSIONES </t>
  </si>
  <si>
    <t>SALDO POR</t>
  </si>
  <si>
    <t>ADQ</t>
  </si>
  <si>
    <t>NO.</t>
  </si>
  <si>
    <t>MES  ADQ</t>
  </si>
  <si>
    <t>SIN IVA</t>
  </si>
  <si>
    <t>PEPREC.</t>
  </si>
  <si>
    <t>ACUM ANT</t>
  </si>
  <si>
    <t>DEPRECIAR</t>
  </si>
  <si>
    <t>MES 1RA MITAD</t>
  </si>
  <si>
    <t xml:space="preserve">DEDUCIR </t>
  </si>
  <si>
    <t>EQ. TRANSPORTE</t>
  </si>
  <si>
    <t>Nissan VERSA ADVANCE   MT AC 1.6L Color:AZUL IRIDIO Modelo:2019 Motor:HR16336093U NS:3N1CN7AD9KL857791</t>
  </si>
  <si>
    <t>DEP. FISCAL</t>
  </si>
  <si>
    <t>Un Vehículo Nuevo Marca KIA MOTORS Modelo New KIA Rio 1.6L L T/M Sedan Año 2022 con Clave Vehicular: 0751001 y Número de Motor:G4FGNE022223</t>
  </si>
  <si>
    <t>Equipo de computo</t>
  </si>
  <si>
    <t>HP RYZWN INTER CORE 7</t>
  </si>
  <si>
    <t xml:space="preserve">MOB. Y EQUIPO OFICINA </t>
  </si>
  <si>
    <t xml:space="preserve">MOBILIARIO OFICINA </t>
  </si>
  <si>
    <t>CONSULTORES CONTABLES DE MEXICO</t>
  </si>
  <si>
    <t>Determinación de la ganancia o pérdida en venta de activo fijo</t>
  </si>
  <si>
    <t>VENTA DE ACTIVO FIJO</t>
  </si>
  <si>
    <t>SUMA</t>
  </si>
  <si>
    <t>ADQUISICION DE ACTIVO FIJO</t>
  </si>
  <si>
    <t>AÑOS</t>
  </si>
  <si>
    <t>NOTA: SI ADQUIRIMOS UN ACTIVO FIJO DESPUES DEL DIA QUINCE SE CONSIDERARA LA DEPRECIACION AL MES SIGUIENTE</t>
  </si>
  <si>
    <t>Datos generales</t>
  </si>
  <si>
    <t>FECHA DE VENTA AUTOMOVIL</t>
  </si>
  <si>
    <t>MESES</t>
  </si>
  <si>
    <t xml:space="preserve">ACTIVIDAD EMPRESARIAL </t>
  </si>
  <si>
    <t>Fecha de adquisición</t>
  </si>
  <si>
    <t>VALOR DE LA VENTA</t>
  </si>
  <si>
    <t>Descripción</t>
  </si>
  <si>
    <t>AUTOMOVIL</t>
  </si>
  <si>
    <t>% de depreciación fiscal</t>
  </si>
  <si>
    <t>Fecha de venta</t>
  </si>
  <si>
    <t>Precio de venta (sin impuestos)</t>
  </si>
  <si>
    <t>Determinación</t>
  </si>
  <si>
    <t>Pérdida en venta de activo fijo</t>
  </si>
  <si>
    <t>Fecha de inicio de la deducción</t>
  </si>
  <si>
    <t>Fecha de termino de la deducción</t>
  </si>
  <si>
    <t>Precio de venta</t>
  </si>
  <si>
    <t>Meses completos de utilización</t>
  </si>
  <si>
    <t>(-) Saldo pendiente por deducir</t>
  </si>
  <si>
    <t>COSTO AUN POR DEPRECIAR</t>
  </si>
  <si>
    <t>(=) Pérdida en venta de activo fijo</t>
  </si>
  <si>
    <t>(=) UTILIDAD VENTA</t>
  </si>
  <si>
    <t>(x) % de depreciación fiscal</t>
  </si>
  <si>
    <t>(=) Depreciación x ejercicio</t>
  </si>
  <si>
    <t>(/) Meses del ejercicio</t>
  </si>
  <si>
    <t>(=) Depreciación por mes</t>
  </si>
  <si>
    <t/>
  </si>
  <si>
    <t>(x) Meses completos de utilización</t>
  </si>
  <si>
    <t>(=) Depreciación acumulada</t>
  </si>
  <si>
    <t>(x) Factor de actualización</t>
  </si>
  <si>
    <t>(=) Depreciacion a la fecha de venta</t>
  </si>
  <si>
    <t>Determinación factor de actualización</t>
  </si>
  <si>
    <t>INPC ULT MES PRIMER MITAD</t>
  </si>
  <si>
    <t>INPC mes de ENERO 2021</t>
  </si>
  <si>
    <t>INPC FECHA ADQ.</t>
  </si>
  <si>
    <t>INPC mes de ENERO de 2019</t>
  </si>
  <si>
    <t xml:space="preserve">ARTICULO 31 LISR </t>
  </si>
  <si>
    <t>Artículo 18. Para los efectos de este Título, se consideran ingresos acumulables, además de los señalados en otros artículos de esta Ley, los siguientes:</t>
  </si>
  <si>
    <t>Cuando el contribuyente enajene los bienes o cuando éstos dejen de ser útiles para obtener los ingresos, deducirá, en el ejercicio en que esto ocurra, la parte aún no deducida. Lo anterior no es aplicable a los casos señalados en los párrafos penúltimo y último de este artículo. En el caso en que los LEY DEL IMPUESTO SOBRE LA RENTA CÁMARA DE DIPUTADOS DEL H. CONGRESO DE LA UNIÓN Secretaría General Secretaría de Servicios Parlamentarios Última Reforma DOF 12-11-2021 58 de 312 bienes dejen de ser útiles para obtener los ingresos, el contribuyente deberá mantener sin deducción un peso en sus registros y presentar aviso ante las autoridades fiscales.</t>
  </si>
  <si>
    <t>La ganancia derivada de la enajenación de activos fijos y terrenos, títulos valor, acciones, partes sociales o certificados de aportación patrimonial emitidos por sociedades nacionales de crédito, así como la ganancia realizada que derive de la fusión o escisión de sociedades y la proveniente de reducción de capital o de liquidación de sociedades mercantiles residentes en el extranjero, en las que el contribuyente sea socio o accionista. En los casos de reducción de capital o de liquidación, de sociedades mercantiles residentes en el extranjero, la ganancia se determinará conforme a lo dispuesto en la fracción V del artículo 142 de esta Ley. En los casos de fusión o escisión de sociedades, no se considerará ingreso acumulable la ganancia derivada de dichos actos, cuando se cumplan los requisitos establecidos en el artículo 14-B del Código Fiscal de la Federación.</t>
  </si>
  <si>
    <t>Cuando sea impar el número de meses comprendidos en el periodo en el que el bien haya sido utilizado en el ejercicio, se considerará como último mes de la primera mitad de dicho periodo el mes inmediato anterior al que corresponda la mitad del periodo</t>
  </si>
  <si>
    <t xml:space="preserve">CASO 1 EJERCICIO IMPAR </t>
  </si>
  <si>
    <t>1 MITAD</t>
  </si>
  <si>
    <t>FACTOR DE ACTUALIZACIÓN</t>
  </si>
  <si>
    <t xml:space="preserve">PAGOS PROVISIONALES MENSUALES </t>
  </si>
  <si>
    <t>2 MITAD</t>
  </si>
  <si>
    <t>INGRESO</t>
  </si>
  <si>
    <t>INGRESO ACUMULABLE</t>
  </si>
  <si>
    <t>(+) UTILIDAD VENTA DE ACTIVO FIJO</t>
  </si>
  <si>
    <t xml:space="preserve">CASO 2 EJERCICIO PAR </t>
  </si>
  <si>
    <t>C.U.</t>
  </si>
  <si>
    <t>MARZO ULTIMO MES PRIMERA MITAD</t>
  </si>
  <si>
    <t>UTILIDAD FISCAL</t>
  </si>
  <si>
    <t xml:space="preserve">TASA ART. 9 LISR </t>
  </si>
  <si>
    <t>IMPUESTO MENSUAL</t>
  </si>
  <si>
    <t>(-) P.P. ANTERIORES</t>
  </si>
  <si>
    <t>PAGO MENSUAL</t>
  </si>
  <si>
    <t>TOTAL PAGADO</t>
  </si>
  <si>
    <t>CONSULTORES CONTABLES DE MEXICO C.C.M.</t>
  </si>
  <si>
    <t>PAGOS PROVISIONALES DE 2021</t>
  </si>
  <si>
    <t>INICIO</t>
  </si>
  <si>
    <t xml:space="preserve">ULTIMO MES </t>
  </si>
  <si>
    <t>INGRESOS NOMINALES 2021</t>
  </si>
  <si>
    <t xml:space="preserve">JULIO </t>
  </si>
  <si>
    <t>ARTICULO 57 LISR</t>
  </si>
  <si>
    <t>PERDIDA FISCAL</t>
  </si>
  <si>
    <t>UTILIDAD</t>
  </si>
  <si>
    <t>INGRESOS O VENTAS</t>
  </si>
  <si>
    <t>CUANDO SEA IMPAR EL NUMERO DE MESES DEL EJERCICIO EN QUE OCURRIO LA PERDIDA, SE CONSIDERARA COMO PRIMER MES DE LA SEGUNDA MITAD DEL EJERCICIO, EL MES INMEDIATO POSTERIOR AL QUE CORRESPONDA LA MITAD DEL EJERCICIO</t>
  </si>
  <si>
    <t>INGRESOS DEL MES</t>
  </si>
  <si>
    <t>INGRESSOS ACUMULADOS</t>
  </si>
  <si>
    <t>REMANENTE</t>
  </si>
  <si>
    <t>COEFICIENTE DE UTILIDAD</t>
  </si>
  <si>
    <t>PRIMERA ACTUALIZACION</t>
  </si>
  <si>
    <t>APLICACIÓN DE LA PERDIDA</t>
  </si>
  <si>
    <t>RESUMEN</t>
  </si>
  <si>
    <t>TERCERA ACTUALIZACION</t>
  </si>
  <si>
    <t>SE APLICA REMANENTE</t>
  </si>
  <si>
    <t>FORMULA</t>
  </si>
  <si>
    <t>INPC del ultimo mes de la primera mitad del ejercicio</t>
  </si>
  <si>
    <t>UTILIDA 20,000</t>
  </si>
  <si>
    <t>PERDIDAS FISCALES POR AMORTIZAR</t>
  </si>
  <si>
    <t xml:space="preserve">INPC del ultimo mes del ejercicio en que ocurrio la perdida </t>
  </si>
  <si>
    <t>PERDIDA O UTILIDAD</t>
  </si>
  <si>
    <t>SEG. ACT.</t>
  </si>
  <si>
    <t>NPC del mes en que se actualizo por ultima ves</t>
  </si>
  <si>
    <t>COMPLEMENTARIA LA AUTORIDAD NO LO ACEPTA</t>
  </si>
  <si>
    <t>UTILIDAD FISCAL BASE PARA PAGO PROVISIONAL</t>
  </si>
  <si>
    <t>INPC del primer mes de la segunda mtad del mismo ejercicio</t>
  </si>
  <si>
    <t>DEDUCCIONES AUT.</t>
  </si>
  <si>
    <t>APLICACIÓN PERDIDA</t>
  </si>
  <si>
    <t>PTU</t>
  </si>
  <si>
    <t>PERDIDA FISCAL REMANENTE</t>
  </si>
  <si>
    <t>fact.</t>
  </si>
  <si>
    <t>INPC JUNIO 2017</t>
  </si>
  <si>
    <t>TASA DE IMPUESTO</t>
  </si>
  <si>
    <t>PRIMERA ACT.</t>
  </si>
  <si>
    <t>INPC JUNIO 2016</t>
  </si>
  <si>
    <t>IMPUESTO MENSUAL DETERMINADO</t>
  </si>
  <si>
    <t>INPC DICIEMBRE 2015</t>
  </si>
  <si>
    <t>formula</t>
  </si>
  <si>
    <t>=</t>
  </si>
  <si>
    <t>PAGOS ANTERIORES DE ISR</t>
  </si>
  <si>
    <t>INCP SEPTIEMBRE 2015</t>
  </si>
  <si>
    <t>PERDIDAS FISCALES</t>
  </si>
  <si>
    <t>FAC1</t>
  </si>
  <si>
    <t>PAGO MENSUAL A REALIZAR</t>
  </si>
  <si>
    <t>RESULTADO FISCAL</t>
  </si>
  <si>
    <t>PERDIDA</t>
  </si>
  <si>
    <t>perdida fiscal</t>
  </si>
  <si>
    <t>AÑO COMPLETO</t>
  </si>
  <si>
    <t>FA</t>
  </si>
  <si>
    <t>PERDIDA AL 31 DICIEMBRE 2015</t>
  </si>
  <si>
    <t>TASA</t>
  </si>
  <si>
    <t>LISR  152</t>
  </si>
  <si>
    <t>AÑO IREGULAR IMPAR</t>
  </si>
  <si>
    <t>PERDIDA ACT.</t>
  </si>
  <si>
    <t>1 PRIMERA ACTUALIZACION P.P. 2016</t>
  </si>
  <si>
    <t xml:space="preserve">AÑO REGULAR PAR </t>
  </si>
  <si>
    <t>2016 - ANUAL 2017</t>
  </si>
  <si>
    <t>ISR DETERMINADO</t>
  </si>
  <si>
    <t>CAPÍTULO V DE LAS PÉRDIDAS Artículo 57. La pérdida fiscal se obtendrá de la diferencia entre los ingresos acumulables del ejercicio y las deducciones autorizadas por esta Ley, cuando el monto de estas últimas sea mayor que los ingresos. El resultado obtenido se incrementará, en su caso, con la participación de los trabajadores en las utilidades de las empresas pagada en el ejercicio en los términos del artículo 123 de la Constitución Política de los Estados Unidos Mexicanos.</t>
  </si>
  <si>
    <t xml:space="preserve">SEGUNDA ACTUALIZACION </t>
  </si>
  <si>
    <t>PAGOS EFECTUADOS</t>
  </si>
  <si>
    <t>PAGOS PROVISIONALES EFECTUADOS ANT.</t>
  </si>
  <si>
    <t>INPC DEL ULTIMO MES DE LA PRIMERA MITAD DEL EJERCICIO</t>
  </si>
  <si>
    <t>ISR A CARGO</t>
  </si>
  <si>
    <t xml:space="preserve">INPC DEL MES EN QUE SE ACTUALIZO POR ULTIMA VES </t>
  </si>
  <si>
    <t>La pérdida fiscal ocurrida en un ejercicio podrá disminuirse de la utilidad fiscal de los diez ejercicios siguientes hasta agotarla. Cuando el contribuyente no disminuya en un ejercicio la pérdida fiscal de ejercicios anteriores, pudiendo haberlo hecho conforme a este artículo, perderá el derecho a hacerlo en los ejercicios posteriores y hasta por la cantidad en la que pudo haberlo efectuado.</t>
  </si>
  <si>
    <t>JUNIO AÑO ACTUAL</t>
  </si>
  <si>
    <t>DICIEMBRE AÑO PASADO</t>
  </si>
  <si>
    <t>Para los efectos de este artículo, el monto de la pérdida fiscal ocurrida en un ejercicio, se actualizará multiplicándolo por el factor de actualización correspondiente al periodo comprendido desde el primer mes de la segunda mitad del ejercicio en el que ocurrió y hasta el último mes del mismo ejercicio. La parte de la pérdida fiscal de ejercicios anteriores ya actualizada pendiente de aplicar contra utilidades fiscales se actualizará multiplicándola por el factor de actualización correspondiente al periodo comprendido desde el mes en el que se actualizó por última vez y hasta el último mes de la primera mitad del ejercicio en el que se aplicará.</t>
  </si>
  <si>
    <t>PERDIDA FISCAL ACT</t>
  </si>
  <si>
    <t>AL 31 DIC. 2020</t>
  </si>
  <si>
    <t xml:space="preserve">POR SEGUNDA </t>
  </si>
  <si>
    <t xml:space="preserve">PRIMERA </t>
  </si>
  <si>
    <t>SEGUNDA ACT.</t>
  </si>
  <si>
    <t xml:space="preserve">10 AÑOS O HASTA QUE SE AGOTE </t>
  </si>
  <si>
    <t>Para los efectos del párrafo anterior, cuando sea impar el número de meses del ejercicio en que ocurrió la pérdida, se considerará como primer mes de la segunda mitad, el mes inmediato posterior al que corresponda la mitad del ejercicio.</t>
  </si>
  <si>
    <t>NOMBRE:</t>
  </si>
  <si>
    <t>RFC:</t>
  </si>
  <si>
    <t>CURP:</t>
  </si>
  <si>
    <t>PERIODO:</t>
  </si>
  <si>
    <t>TITULO:</t>
  </si>
  <si>
    <t>DATOS ANUALES</t>
  </si>
  <si>
    <t>INGRESO ANUAL POR SYS</t>
  </si>
  <si>
    <t xml:space="preserve">TOTAL DE INGRESOS </t>
  </si>
  <si>
    <t>(-)</t>
  </si>
  <si>
    <t>EXENTOS</t>
  </si>
  <si>
    <t>DEDUCCIONES AUTORIZADAS</t>
  </si>
  <si>
    <t>TOTAL DEDUCCIONES</t>
  </si>
  <si>
    <t>ISR</t>
  </si>
  <si>
    <t>(=)</t>
  </si>
  <si>
    <t>LIMITE INFERIOR</t>
  </si>
  <si>
    <t>EXCEDENTE SOBRE LI</t>
  </si>
  <si>
    <t>(X)</t>
  </si>
  <si>
    <t>% Mg.</t>
  </si>
  <si>
    <t>IMPUESTO MARGINAL</t>
  </si>
  <si>
    <t>(+)</t>
  </si>
  <si>
    <t>CUOTA FIJA</t>
  </si>
  <si>
    <t>TOTAL ISR</t>
  </si>
  <si>
    <t>SUBSIDIO AL EMPLEO</t>
  </si>
  <si>
    <t>ISR ANTES DE P.P. Y RETENCIONES</t>
  </si>
  <si>
    <t>ISR POR SYS</t>
  </si>
  <si>
    <t>ISR A CARGO, ISR A FAVOR</t>
  </si>
  <si>
    <t>118.002</t>
  </si>
  <si>
    <t>118.981</t>
  </si>
  <si>
    <t>116.884</t>
  </si>
  <si>
    <t>117.308</t>
  </si>
  <si>
    <t>Tabla de ISR Anual 2023</t>
  </si>
  <si>
    <t>Anual</t>
  </si>
  <si>
    <t>Porcentaje para aplicarse sobre el excedente del límite inferior</t>
  </si>
  <si>
    <t xml:space="preserve">GREGORIO ALAN BECERRA TORRES </t>
  </si>
  <si>
    <t>BETG9508097H9</t>
  </si>
  <si>
    <t xml:space="preserve">ACTIVIDAD EMPRESARIAL Y PROFESIONAL </t>
  </si>
  <si>
    <t>INGRESOS ANUALES ACTYEMP.</t>
  </si>
  <si>
    <t>DEDUCCION MES</t>
  </si>
  <si>
    <t>PAGOS PROVISIONALES 2023</t>
  </si>
  <si>
    <t xml:space="preserve">CALCULO ANUAL </t>
  </si>
  <si>
    <t>CALCULO ANUAL TARIFAS ANEXO 8 R.M.F.</t>
  </si>
  <si>
    <t>RETENCIONES ISR SERVICIOS PROFESIONALES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</si>
</sst>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8" formatCode="&quot;$&quot;#,##0.00;[Red]\-&quot;$&quot;#,##0.00"/>
    <numFmt numFmtId="44" formatCode="_-&quot;$&quot;* #,##0.00_-;\-&quot;$&quot;* #,##0.00_-;_-&quot;$&quot;* &quot;-&quot;??_-;_-@_-"/>
    <numFmt numFmtId="43" formatCode="_-* #,##0.00_-;\-* #,##0.00_-;_-* &quot;-&quot;??_-;_-@_-"/>
    <numFmt numFmtId="164" formatCode="_-&quot;$&quot;* #,##0_-;\-&quot;$&quot;* #,##0_-;_-&quot;$&quot;* &quot;-&quot;??_-;_-@_-"/>
    <numFmt numFmtId="165" formatCode="#,##0.00000000000"/>
    <numFmt numFmtId="166" formatCode="0.0000"/>
    <numFmt numFmtId="167" formatCode="dd/mm/yyyy;@"/>
    <numFmt numFmtId="168" formatCode="#,##0.00;[Red]\(#,##0.00\)"/>
    <numFmt numFmtId="169" formatCode="&quot;$&quot;#,##0.00"/>
    <numFmt numFmtId="170" formatCode="&quot;$&quot;#,##0.0000"/>
    <numFmt numFmtId="171" formatCode="&quot;$&quot;#,##0"/>
    <numFmt numFmtId="172" formatCode="0_ ;\-0\ "/>
  </numFmts>
  <fonts count="5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8"/>
      <color rgb="FF333333"/>
      <name val="Calibri"/>
      <family val="2"/>
      <scheme val="minor"/>
    </font>
    <font>
      <b/>
      <sz val="13.5"/>
      <color rgb="FF333333"/>
      <name val="Arial"/>
      <family val="2"/>
    </font>
    <font>
      <b/>
      <sz val="10"/>
      <name val="Arial"/>
      <family val="2"/>
    </font>
    <font>
      <sz val="10"/>
      <color rgb="FFFF0000"/>
      <name val="Arial"/>
      <family val="2"/>
    </font>
    <font>
      <sz val="10"/>
      <color theme="0"/>
      <name val="Arial"/>
      <family val="2"/>
    </font>
    <font>
      <sz val="10"/>
      <name val="Arial"/>
      <family val="2"/>
    </font>
    <font>
      <b/>
      <sz val="9"/>
      <name val="Arial"/>
      <family val="2"/>
    </font>
    <font>
      <b/>
      <sz val="14"/>
      <color theme="1"/>
      <name val="Calibri"/>
      <family val="2"/>
      <scheme val="minor"/>
    </font>
    <font>
      <b/>
      <i/>
      <sz val="9"/>
      <name val="Arial"/>
      <family val="2"/>
    </font>
    <font>
      <b/>
      <i/>
      <sz val="11"/>
      <color theme="1"/>
      <name val="Calibri"/>
      <family val="2"/>
      <scheme val="minor"/>
    </font>
    <font>
      <b/>
      <i/>
      <sz val="11"/>
      <color indexed="8"/>
      <name val="Calibri"/>
      <family val="2"/>
    </font>
    <font>
      <b/>
      <i/>
      <sz val="12"/>
      <color indexed="8"/>
      <name val="Calibri"/>
      <family val="2"/>
    </font>
    <font>
      <b/>
      <sz val="11"/>
      <name val="Calibri"/>
      <family val="2"/>
      <scheme val="minor"/>
    </font>
    <font>
      <b/>
      <sz val="8"/>
      <name val="Arial"/>
      <family val="2"/>
    </font>
    <font>
      <b/>
      <sz val="10"/>
      <color theme="0"/>
      <name val="Arial"/>
      <family val="2"/>
    </font>
    <font>
      <sz val="11"/>
      <name val="Arial"/>
      <family val="2"/>
    </font>
    <font>
      <b/>
      <sz val="12"/>
      <name val="Arial"/>
      <family val="2"/>
    </font>
    <font>
      <b/>
      <sz val="11"/>
      <color rgb="FFFF0000"/>
      <name val="Calibri"/>
      <family val="2"/>
      <scheme val="minor"/>
    </font>
    <font>
      <sz val="11"/>
      <name val="Calibri"/>
      <family val="2"/>
      <scheme val="minor"/>
    </font>
    <font>
      <b/>
      <sz val="11"/>
      <color rgb="FFC00000"/>
      <name val="Calibri"/>
      <family val="2"/>
      <scheme val="minor"/>
    </font>
    <font>
      <sz val="12"/>
      <color theme="1"/>
      <name val="Calibri"/>
      <family val="2"/>
      <scheme val="minor"/>
    </font>
    <font>
      <b/>
      <i/>
      <u/>
      <sz val="11"/>
      <color theme="1"/>
      <name val="Calibri"/>
      <family val="2"/>
      <scheme val="minor"/>
    </font>
    <font>
      <b/>
      <i/>
      <u/>
      <sz val="11"/>
      <color rgb="FFC00000"/>
      <name val="Calibri"/>
      <family val="2"/>
      <scheme val="minor"/>
    </font>
    <font>
      <sz val="11"/>
      <color theme="3"/>
      <name val="Calibri"/>
      <family val="2"/>
      <scheme val="minor"/>
    </font>
    <font>
      <sz val="14"/>
      <color theme="1"/>
      <name val="Calibri"/>
      <family val="2"/>
      <scheme val="minor"/>
    </font>
    <font>
      <sz val="14"/>
      <name val="Calibri"/>
      <family val="2"/>
      <scheme val="minor"/>
    </font>
    <font>
      <sz val="12"/>
      <color theme="0"/>
      <name val="Calibri"/>
      <family val="2"/>
      <scheme val="minor"/>
    </font>
    <font>
      <b/>
      <sz val="11"/>
      <color rgb="FF0070C0"/>
      <name val="Calibri"/>
      <family val="2"/>
      <scheme val="minor"/>
    </font>
    <font>
      <b/>
      <sz val="11"/>
      <color theme="4" tint="-0.249977111117893"/>
      <name val="Calibri"/>
      <family val="2"/>
      <scheme val="minor"/>
    </font>
    <font>
      <sz val="16"/>
      <color theme="1"/>
      <name val="Calibri"/>
      <family val="2"/>
      <scheme val="minor"/>
    </font>
    <font>
      <sz val="22"/>
      <color theme="1"/>
      <name val="Calibri"/>
      <family val="2"/>
      <scheme val="minor"/>
    </font>
    <font>
      <b/>
      <sz val="12"/>
      <color theme="1"/>
      <name val="Calibri"/>
      <family val="2"/>
      <scheme val="minor"/>
    </font>
    <font>
      <sz val="12"/>
      <name val="Arial"/>
      <family val="2"/>
    </font>
    <font>
      <b/>
      <u val="singleAccounting"/>
      <sz val="12"/>
      <name val="Arial"/>
      <family val="2"/>
    </font>
    <font>
      <b/>
      <sz val="12"/>
      <color rgb="FFFF0000"/>
      <name val="Arial"/>
      <family val="2"/>
    </font>
    <font>
      <b/>
      <u val="singleAccounting"/>
      <sz val="11"/>
      <color rgb="FFFF0000"/>
      <name val="Calibri"/>
      <family val="2"/>
      <scheme val="minor"/>
    </font>
    <font>
      <b/>
      <sz val="14"/>
      <color rgb="FF333333"/>
      <name val="Arial"/>
      <family val="2"/>
    </font>
    <font>
      <b/>
      <sz val="10"/>
      <color rgb="FFC00000"/>
      <name val="Arial"/>
      <family val="2"/>
    </font>
    <font>
      <b/>
      <sz val="18"/>
      <name val="Arial"/>
      <family val="2"/>
    </font>
    <font>
      <b/>
      <sz val="14"/>
      <color rgb="FFC00000"/>
      <name val="Calibri"/>
      <family val="2"/>
      <scheme val="minor"/>
    </font>
    <font>
      <b/>
      <i/>
      <sz val="10"/>
      <name val="Arial"/>
      <family val="2"/>
    </font>
    <font>
      <sz val="10"/>
      <color theme="1"/>
      <name val="Calibri"/>
      <family val="2"/>
      <scheme val="minor"/>
    </font>
    <font>
      <b/>
      <sz val="10"/>
      <color rgb="FFFFFFFF"/>
      <name val="Arial"/>
      <family val="2"/>
    </font>
    <font>
      <sz val="10"/>
      <name val="Calibri"/>
      <family val="2"/>
      <scheme val="minor"/>
    </font>
    <font>
      <sz val="10"/>
      <color rgb="FF000000"/>
      <name val="Arial"/>
      <family val="2"/>
    </font>
    <font>
      <sz val="10"/>
      <color rgb="FF363636"/>
      <name val="Arial"/>
      <family val="2"/>
    </font>
    <font>
      <b/>
      <sz val="14"/>
      <color rgb="FFFF0000"/>
      <name val="Arial"/>
      <family val="2"/>
    </font>
  </fonts>
  <fills count="19">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bgColor indexed="64"/>
      </patternFill>
    </fill>
    <fill>
      <patternFill patternType="solid">
        <fgColor indexed="2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7"/>
        <bgColor indexed="64"/>
      </patternFill>
    </fill>
    <fill>
      <patternFill patternType="solid">
        <fgColor rgb="FF104E8B"/>
        <bgColor indexed="64"/>
      </patternFill>
    </fill>
    <fill>
      <patternFill patternType="solid">
        <fgColor rgb="FFFFFFFF"/>
        <bgColor indexed="64"/>
      </patternFill>
    </fill>
    <fill>
      <patternFill patternType="solid">
        <fgColor theme="0" tint="-4.9989318521683403E-2"/>
        <bgColor theme="0" tint="-0.14999847407452621"/>
      </patternFill>
    </fill>
    <fill>
      <patternFill patternType="solid">
        <fgColor theme="0" tint="-4.9989318521683403E-2"/>
        <bgColor indexed="64"/>
      </patternFill>
    </fill>
  </fills>
  <borders count="4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style="hair">
        <color indexed="64"/>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rgb="FFFF0000"/>
      </left>
      <right style="thin">
        <color rgb="FFFF0000"/>
      </right>
      <top style="thin">
        <color rgb="FFFF0000"/>
      </top>
      <bottom style="thin">
        <color rgb="FFFF0000"/>
      </bottom>
      <diagonal/>
    </border>
    <border>
      <left style="medium">
        <color rgb="FFCCCCCC"/>
      </left>
      <right/>
      <top style="medium">
        <color rgb="FFCCCCCC"/>
      </top>
      <bottom/>
      <diagonal/>
    </border>
    <border>
      <left/>
      <right/>
      <top style="medium">
        <color rgb="FFCCCCCC"/>
      </top>
      <bottom/>
      <diagonal/>
    </border>
    <border>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392">
    <xf numFmtId="0" fontId="0" fillId="0" borderId="0" xfId="0"/>
    <xf numFmtId="0" fontId="6" fillId="0" borderId="0" xfId="0" applyFont="1" applyAlignment="1">
      <alignment horizontal="center" vertical="center" wrapText="1"/>
    </xf>
    <xf numFmtId="0" fontId="7" fillId="0" borderId="1" xfId="0" applyFont="1" applyBorder="1" applyAlignment="1">
      <alignment horizontal="center"/>
    </xf>
    <xf numFmtId="0" fontId="4" fillId="0" borderId="1" xfId="0" applyFont="1" applyBorder="1" applyAlignment="1">
      <alignment horizontal="center" vertical="center" wrapText="1"/>
    </xf>
    <xf numFmtId="0" fontId="0" fillId="0" borderId="0" xfId="0" applyAlignment="1">
      <alignment horizontal="center" wrapText="1"/>
    </xf>
    <xf numFmtId="43" fontId="0" fillId="0" borderId="0" xfId="1" applyFont="1" applyAlignment="1">
      <alignment horizontal="right" vertical="center"/>
    </xf>
    <xf numFmtId="0" fontId="0" fillId="0" borderId="0" xfId="0" applyAlignment="1">
      <alignment horizontal="right" vertical="center"/>
    </xf>
    <xf numFmtId="2" fontId="0" fillId="0" borderId="0" xfId="0" applyNumberFormat="1" applyAlignment="1">
      <alignment horizontal="right" vertical="center"/>
    </xf>
    <xf numFmtId="10" fontId="0" fillId="0" borderId="0" xfId="0" applyNumberFormat="1" applyAlignment="1">
      <alignment horizontal="center" vertical="center"/>
    </xf>
    <xf numFmtId="4" fontId="0" fillId="0" borderId="0" xfId="0" applyNumberFormat="1" applyAlignment="1">
      <alignment horizontal="right" vertical="center"/>
    </xf>
    <xf numFmtId="0" fontId="7" fillId="0" borderId="0" xfId="0" applyFont="1" applyAlignment="1">
      <alignment horizontal="center"/>
    </xf>
    <xf numFmtId="0" fontId="4" fillId="0" borderId="2" xfId="0" applyFont="1" applyBorder="1" applyAlignment="1">
      <alignment horizontal="center" vertical="center" wrapText="1"/>
    </xf>
    <xf numFmtId="0" fontId="8" fillId="0" borderId="0" xfId="0" applyFont="1" applyAlignment="1">
      <alignment horizontal="center"/>
    </xf>
    <xf numFmtId="0" fontId="8" fillId="2" borderId="0" xfId="0" applyFont="1" applyFill="1" applyAlignment="1">
      <alignment horizontal="center"/>
    </xf>
    <xf numFmtId="0" fontId="0" fillId="3" borderId="0" xfId="0" applyFill="1"/>
    <xf numFmtId="0" fontId="2" fillId="3" borderId="0" xfId="0" applyFont="1" applyFill="1" applyAlignment="1">
      <alignment horizontal="center"/>
    </xf>
    <xf numFmtId="4" fontId="0" fillId="0" borderId="0" xfId="0" applyNumberFormat="1"/>
    <xf numFmtId="44" fontId="9" fillId="0" borderId="0" xfId="2" applyFont="1" applyAlignment="1">
      <alignment horizontal="center"/>
    </xf>
    <xf numFmtId="0" fontId="10" fillId="0" borderId="0" xfId="2" applyNumberFormat="1" applyFont="1" applyAlignment="1">
      <alignment horizontal="center"/>
    </xf>
    <xf numFmtId="44" fontId="0" fillId="0" borderId="0" xfId="2" applyFont="1" applyFill="1" applyBorder="1" applyAlignment="1">
      <alignment horizontal="center"/>
    </xf>
    <xf numFmtId="0" fontId="0" fillId="2" borderId="0" xfId="0" applyFill="1"/>
    <xf numFmtId="0" fontId="8" fillId="0" borderId="0" xfId="0" applyFont="1"/>
    <xf numFmtId="44" fontId="8" fillId="0" borderId="3" xfId="2" applyFont="1" applyBorder="1" applyAlignment="1">
      <alignment horizontal="center"/>
    </xf>
    <xf numFmtId="44" fontId="8" fillId="0" borderId="0" xfId="2" applyFont="1" applyFill="1" applyBorder="1" applyAlignment="1">
      <alignment horizontal="center"/>
    </xf>
    <xf numFmtId="0" fontId="8" fillId="2" borderId="0" xfId="0" applyFont="1" applyFill="1"/>
    <xf numFmtId="44" fontId="8" fillId="0" borderId="0" xfId="2" applyFont="1" applyBorder="1" applyAlignment="1">
      <alignment horizontal="center"/>
    </xf>
    <xf numFmtId="164" fontId="0" fillId="0" borderId="0" xfId="2" applyNumberFormat="1" applyFont="1" applyAlignment="1">
      <alignment horizontal="center"/>
    </xf>
    <xf numFmtId="164" fontId="0" fillId="0" borderId="0" xfId="2" applyNumberFormat="1" applyFont="1" applyFill="1" applyBorder="1" applyAlignment="1">
      <alignment horizontal="center"/>
    </xf>
    <xf numFmtId="164" fontId="0" fillId="2" borderId="0" xfId="0" applyNumberFormat="1" applyFill="1"/>
    <xf numFmtId="44" fontId="0" fillId="0" borderId="0" xfId="2" applyFont="1"/>
    <xf numFmtId="164" fontId="8" fillId="0" borderId="0" xfId="2" applyNumberFormat="1" applyFont="1" applyFill="1" applyBorder="1" applyAlignment="1">
      <alignment horizontal="center"/>
    </xf>
    <xf numFmtId="164" fontId="11" fillId="0" borderId="0" xfId="2" applyNumberFormat="1" applyFont="1" applyFill="1" applyAlignment="1">
      <alignment horizontal="center"/>
    </xf>
    <xf numFmtId="164" fontId="0" fillId="0" borderId="0" xfId="0" applyNumberFormat="1"/>
    <xf numFmtId="44" fontId="0" fillId="2" borderId="0" xfId="0" applyNumberFormat="1" applyFill="1"/>
    <xf numFmtId="164" fontId="0" fillId="2" borderId="0" xfId="2" applyNumberFormat="1" applyFont="1" applyFill="1" applyAlignment="1">
      <alignment horizontal="center"/>
    </xf>
    <xf numFmtId="164" fontId="0" fillId="0" borderId="5" xfId="2" applyNumberFormat="1" applyFont="1" applyBorder="1" applyAlignment="1">
      <alignment horizontal="center"/>
    </xf>
    <xf numFmtId="164" fontId="0" fillId="2" borderId="5" xfId="2" applyNumberFormat="1" applyFont="1" applyFill="1" applyBorder="1" applyAlignment="1">
      <alignment horizontal="center"/>
    </xf>
    <xf numFmtId="0" fontId="12" fillId="0" borderId="3" xfId="0" applyFont="1" applyBorder="1"/>
    <xf numFmtId="164" fontId="8" fillId="2" borderId="4" xfId="2" applyNumberFormat="1" applyFont="1" applyFill="1" applyBorder="1" applyAlignment="1">
      <alignment horizontal="center"/>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3" fillId="6" borderId="0" xfId="0" applyFont="1" applyFill="1"/>
    <xf numFmtId="0" fontId="0" fillId="6" borderId="0" xfId="0" applyFill="1"/>
    <xf numFmtId="0" fontId="0" fillId="7" borderId="0" xfId="0" applyFill="1"/>
    <xf numFmtId="0" fontId="12" fillId="2" borderId="3" xfId="0" applyFont="1" applyFill="1" applyBorder="1"/>
    <xf numFmtId="44" fontId="0" fillId="2" borderId="0" xfId="2" applyFont="1" applyFill="1"/>
    <xf numFmtId="0" fontId="4" fillId="2" borderId="0" xfId="0" applyFont="1" applyFill="1"/>
    <xf numFmtId="0" fontId="14" fillId="2" borderId="3" xfId="0" applyFont="1" applyFill="1" applyBorder="1"/>
    <xf numFmtId="0" fontId="15" fillId="2" borderId="0" xfId="0" applyFont="1" applyFill="1"/>
    <xf numFmtId="164" fontId="16" fillId="2" borderId="0" xfId="2" applyNumberFormat="1" applyFont="1" applyFill="1" applyAlignment="1">
      <alignment horizontal="center"/>
    </xf>
    <xf numFmtId="164" fontId="16" fillId="2" borderId="0" xfId="2" applyNumberFormat="1" applyFont="1" applyFill="1" applyBorder="1" applyAlignment="1">
      <alignment horizontal="center"/>
    </xf>
    <xf numFmtId="10" fontId="16" fillId="2" borderId="0" xfId="3" applyNumberFormat="1" applyFont="1" applyFill="1" applyAlignment="1">
      <alignment horizontal="center"/>
    </xf>
    <xf numFmtId="10" fontId="17" fillId="2" borderId="0" xfId="3" applyNumberFormat="1" applyFont="1" applyFill="1" applyAlignment="1">
      <alignment horizontal="center"/>
    </xf>
    <xf numFmtId="10" fontId="16" fillId="2" borderId="0" xfId="3" applyNumberFormat="1" applyFont="1" applyFill="1" applyBorder="1" applyAlignment="1">
      <alignment horizontal="center"/>
    </xf>
    <xf numFmtId="0" fontId="8" fillId="0" borderId="3" xfId="0" applyFont="1" applyBorder="1"/>
    <xf numFmtId="0" fontId="4" fillId="0" borderId="0" xfId="0" applyFont="1"/>
    <xf numFmtId="164" fontId="4" fillId="2" borderId="0" xfId="0" applyNumberFormat="1" applyFont="1" applyFill="1"/>
    <xf numFmtId="44" fontId="4" fillId="2" borderId="0" xfId="2" applyFont="1" applyFill="1"/>
    <xf numFmtId="0" fontId="18" fillId="2" borderId="0" xfId="0" applyFont="1" applyFill="1"/>
    <xf numFmtId="44" fontId="18" fillId="2" borderId="0" xfId="2" applyFont="1" applyFill="1"/>
    <xf numFmtId="0" fontId="18" fillId="0" borderId="0" xfId="0" applyFont="1"/>
    <xf numFmtId="4" fontId="4" fillId="0" borderId="0" xfId="0" applyNumberFormat="1" applyFont="1"/>
    <xf numFmtId="0" fontId="12" fillId="0" borderId="0" xfId="0" applyFont="1"/>
    <xf numFmtId="44" fontId="12" fillId="0" borderId="0" xfId="2" applyFont="1"/>
    <xf numFmtId="0" fontId="12" fillId="0" borderId="0" xfId="0" applyFont="1" applyBorder="1"/>
    <xf numFmtId="0" fontId="18" fillId="3" borderId="0" xfId="0" applyFont="1" applyFill="1"/>
    <xf numFmtId="4" fontId="18" fillId="0" borderId="0" xfId="0" applyNumberFormat="1" applyFont="1"/>
    <xf numFmtId="0" fontId="8" fillId="7" borderId="3" xfId="0" applyFont="1" applyFill="1" applyBorder="1"/>
    <xf numFmtId="0" fontId="12" fillId="7" borderId="3" xfId="0" applyFont="1" applyFill="1" applyBorder="1"/>
    <xf numFmtId="164" fontId="0" fillId="7" borderId="0" xfId="2" applyNumberFormat="1" applyFont="1" applyFill="1" applyBorder="1" applyAlignment="1">
      <alignment horizontal="center"/>
    </xf>
    <xf numFmtId="0" fontId="8" fillId="7" borderId="0" xfId="0" applyFont="1" applyFill="1"/>
    <xf numFmtId="164" fontId="8" fillId="7" borderId="3" xfId="2" applyNumberFormat="1" applyFont="1" applyFill="1" applyBorder="1" applyAlignment="1">
      <alignment horizontal="center"/>
    </xf>
    <xf numFmtId="164" fontId="8" fillId="7" borderId="0" xfId="2" applyNumberFormat="1" applyFont="1" applyFill="1" applyBorder="1" applyAlignment="1">
      <alignment horizontal="center"/>
    </xf>
    <xf numFmtId="164" fontId="8" fillId="7" borderId="4" xfId="2" applyNumberFormat="1" applyFont="1" applyFill="1" applyBorder="1" applyAlignment="1">
      <alignment horizontal="center"/>
    </xf>
    <xf numFmtId="164" fontId="0" fillId="7" borderId="5" xfId="2" applyNumberFormat="1" applyFont="1" applyFill="1" applyBorder="1" applyAlignment="1">
      <alignment horizontal="center"/>
    </xf>
    <xf numFmtId="0" fontId="19" fillId="0" borderId="0" xfId="0" applyFont="1" applyAlignment="1">
      <alignment horizontal="right"/>
    </xf>
    <xf numFmtId="14" fontId="19" fillId="0" borderId="0" xfId="0" applyNumberFormat="1" applyFont="1" applyAlignment="1">
      <alignment horizontal="right"/>
    </xf>
    <xf numFmtId="14" fontId="12" fillId="5" borderId="0" xfId="0" applyNumberFormat="1" applyFont="1" applyFill="1" applyAlignment="1">
      <alignment horizontal="center"/>
    </xf>
    <xf numFmtId="14" fontId="20" fillId="8" borderId="0" xfId="0" applyNumberFormat="1" applyFont="1" applyFill="1" applyAlignment="1">
      <alignment horizontal="center"/>
    </xf>
    <xf numFmtId="14" fontId="19" fillId="0" borderId="0" xfId="0" applyNumberFormat="1" applyFont="1" applyAlignment="1"/>
    <xf numFmtId="3" fontId="12" fillId="9" borderId="0" xfId="0" applyNumberFormat="1" applyFont="1" applyFill="1" applyAlignment="1">
      <alignment horizontal="center" vertical="top" wrapText="1"/>
    </xf>
    <xf numFmtId="0" fontId="21" fillId="0" borderId="7" xfId="0" applyFont="1" applyBorder="1"/>
    <xf numFmtId="4" fontId="21" fillId="2" borderId="0" xfId="0" applyNumberFormat="1" applyFont="1" applyFill="1"/>
    <xf numFmtId="4" fontId="0" fillId="2" borderId="0" xfId="0" applyNumberFormat="1" applyFill="1"/>
    <xf numFmtId="0" fontId="0" fillId="10" borderId="0" xfId="0" applyFill="1"/>
    <xf numFmtId="0" fontId="8" fillId="2" borderId="5" xfId="0" applyFont="1" applyFill="1" applyBorder="1"/>
    <xf numFmtId="4" fontId="8" fillId="2" borderId="5" xfId="0" applyNumberFormat="1" applyFont="1" applyFill="1" applyBorder="1"/>
    <xf numFmtId="4" fontId="8" fillId="0" borderId="5" xfId="0" applyNumberFormat="1" applyFont="1" applyBorder="1"/>
    <xf numFmtId="4" fontId="8" fillId="2" borderId="0" xfId="0" applyNumberFormat="1" applyFont="1" applyFill="1"/>
    <xf numFmtId="4" fontId="8" fillId="0" borderId="0" xfId="0" applyNumberFormat="1" applyFont="1"/>
    <xf numFmtId="165" fontId="0" fillId="0" borderId="0" xfId="0" applyNumberFormat="1"/>
    <xf numFmtId="3" fontId="8" fillId="11" borderId="3" xfId="0" applyNumberFormat="1" applyFont="1" applyFill="1" applyBorder="1"/>
    <xf numFmtId="0" fontId="22" fillId="11" borderId="0" xfId="0" applyFont="1" applyFill="1"/>
    <xf numFmtId="4" fontId="8" fillId="11" borderId="0" xfId="0" applyNumberFormat="1" applyFont="1" applyFill="1"/>
    <xf numFmtId="0" fontId="8" fillId="11" borderId="3" xfId="0" applyFont="1" applyFill="1" applyBorder="1"/>
    <xf numFmtId="4" fontId="0" fillId="7" borderId="0" xfId="0" applyNumberFormat="1" applyFill="1"/>
    <xf numFmtId="44" fontId="23" fillId="2" borderId="3" xfId="0" applyNumberFormat="1" applyFont="1" applyFill="1" applyBorder="1"/>
    <xf numFmtId="44" fontId="0" fillId="0" borderId="0" xfId="0" applyNumberFormat="1"/>
    <xf numFmtId="0" fontId="0" fillId="7" borderId="3" xfId="0" applyFill="1" applyBorder="1" applyAlignment="1">
      <alignment horizontal="center"/>
    </xf>
    <xf numFmtId="0" fontId="0" fillId="7" borderId="3" xfId="0" applyFill="1" applyBorder="1" applyAlignment="1">
      <alignment horizontal="center" vertical="center"/>
    </xf>
    <xf numFmtId="44" fontId="0" fillId="7" borderId="3" xfId="2" applyFont="1" applyFill="1" applyBorder="1" applyAlignment="1">
      <alignment horizontal="center"/>
    </xf>
    <xf numFmtId="9" fontId="0" fillId="7" borderId="3" xfId="3" applyFont="1" applyFill="1" applyBorder="1" applyAlignment="1">
      <alignment horizontal="center"/>
    </xf>
    <xf numFmtId="0" fontId="23" fillId="7" borderId="3" xfId="0" applyFont="1" applyFill="1" applyBorder="1" applyAlignment="1">
      <alignment horizontal="center"/>
    </xf>
    <xf numFmtId="0" fontId="4" fillId="0" borderId="3" xfId="0" applyFont="1" applyBorder="1"/>
    <xf numFmtId="14" fontId="0" fillId="0" borderId="3" xfId="0" applyNumberFormat="1" applyBorder="1"/>
    <xf numFmtId="0" fontId="0" fillId="0" borderId="3" xfId="0" applyBorder="1"/>
    <xf numFmtId="44" fontId="0" fillId="0" borderId="3" xfId="2" applyFont="1" applyBorder="1"/>
    <xf numFmtId="0" fontId="0" fillId="0" borderId="3" xfId="0" applyNumberFormat="1" applyBorder="1"/>
    <xf numFmtId="0" fontId="23" fillId="2" borderId="3" xfId="0" applyFont="1" applyFill="1" applyBorder="1"/>
    <xf numFmtId="10" fontId="0" fillId="0" borderId="3" xfId="0" applyNumberFormat="1" applyBorder="1"/>
    <xf numFmtId="44" fontId="0" fillId="0" borderId="3" xfId="0" applyNumberFormat="1" applyBorder="1"/>
    <xf numFmtId="0" fontId="0" fillId="0" borderId="3" xfId="0" applyNumberFormat="1" applyBorder="1" applyAlignment="1">
      <alignment horizontal="center"/>
    </xf>
    <xf numFmtId="44" fontId="4" fillId="7" borderId="3" xfId="0" applyNumberFormat="1" applyFont="1" applyFill="1" applyBorder="1"/>
    <xf numFmtId="166" fontId="0" fillId="0" borderId="3" xfId="0" applyNumberFormat="1" applyBorder="1"/>
    <xf numFmtId="0" fontId="23" fillId="0" borderId="3" xfId="0" applyFont="1" applyBorder="1"/>
    <xf numFmtId="166" fontId="4" fillId="0" borderId="3" xfId="0" applyNumberFormat="1" applyFont="1" applyBorder="1"/>
    <xf numFmtId="166" fontId="0" fillId="2" borderId="3" xfId="0" applyNumberFormat="1" applyFill="1" applyBorder="1"/>
    <xf numFmtId="44" fontId="23" fillId="0" borderId="3" xfId="0" applyNumberFormat="1" applyFont="1" applyBorder="1"/>
    <xf numFmtId="0" fontId="0" fillId="0" borderId="0" xfId="0" applyFill="1" applyBorder="1"/>
    <xf numFmtId="0" fontId="0" fillId="0" borderId="0" xfId="0" applyBorder="1"/>
    <xf numFmtId="44" fontId="0" fillId="0" borderId="0" xfId="2" applyFont="1" applyBorder="1"/>
    <xf numFmtId="0" fontId="4" fillId="0" borderId="0" xfId="0" applyFont="1" applyAlignment="1">
      <alignment horizontal="center"/>
    </xf>
    <xf numFmtId="44" fontId="4" fillId="0" borderId="0" xfId="0" applyNumberFormat="1" applyFont="1"/>
    <xf numFmtId="0" fontId="0" fillId="7" borderId="3" xfId="0" applyFill="1" applyBorder="1" applyAlignment="1">
      <alignment horizontal="center" vertical="center"/>
    </xf>
    <xf numFmtId="15" fontId="0" fillId="0" borderId="0" xfId="0" applyNumberFormat="1"/>
    <xf numFmtId="9" fontId="0" fillId="0" borderId="0" xfId="0" applyNumberFormat="1"/>
    <xf numFmtId="3" fontId="0" fillId="0" borderId="0" xfId="0" applyNumberFormat="1"/>
    <xf numFmtId="0" fontId="4" fillId="2" borderId="3" xfId="0" applyFont="1" applyFill="1" applyBorder="1"/>
    <xf numFmtId="0" fontId="0" fillId="2" borderId="3" xfId="0" applyFill="1" applyBorder="1"/>
    <xf numFmtId="44" fontId="0" fillId="2" borderId="3" xfId="2" applyFont="1" applyFill="1" applyBorder="1"/>
    <xf numFmtId="14" fontId="0" fillId="2" borderId="3" xfId="0" applyNumberFormat="1" applyFill="1" applyBorder="1"/>
    <xf numFmtId="10" fontId="0" fillId="2" borderId="3" xfId="0" applyNumberFormat="1" applyFill="1" applyBorder="1"/>
    <xf numFmtId="0" fontId="0" fillId="2" borderId="3" xfId="0" applyNumberFormat="1" applyFill="1" applyBorder="1"/>
    <xf numFmtId="44" fontId="0" fillId="2" borderId="3" xfId="0" applyNumberFormat="1" applyFill="1" applyBorder="1"/>
    <xf numFmtId="44" fontId="0" fillId="0" borderId="0" xfId="0" applyNumberFormat="1" applyBorder="1"/>
    <xf numFmtId="44" fontId="23" fillId="2" borderId="0" xfId="0" applyNumberFormat="1" applyFont="1" applyFill="1" applyBorder="1"/>
    <xf numFmtId="44" fontId="25" fillId="7" borderId="3" xfId="0" applyNumberFormat="1" applyFont="1" applyFill="1" applyBorder="1"/>
    <xf numFmtId="44" fontId="25" fillId="2" borderId="3" xfId="0" applyNumberFormat="1" applyFont="1" applyFill="1" applyBorder="1"/>
    <xf numFmtId="0" fontId="25" fillId="0" borderId="3" xfId="0" applyFont="1" applyFill="1" applyBorder="1"/>
    <xf numFmtId="0" fontId="25" fillId="0" borderId="3" xfId="0" applyNumberFormat="1" applyFont="1" applyBorder="1"/>
    <xf numFmtId="0" fontId="25" fillId="0" borderId="3" xfId="0" applyFont="1" applyBorder="1"/>
    <xf numFmtId="44" fontId="25" fillId="0" borderId="3" xfId="2" applyFont="1" applyBorder="1"/>
    <xf numFmtId="10" fontId="25" fillId="0" borderId="3" xfId="0" applyNumberFormat="1" applyFont="1" applyBorder="1"/>
    <xf numFmtId="44" fontId="25" fillId="0" borderId="3" xfId="0" applyNumberFormat="1" applyFont="1" applyBorder="1"/>
    <xf numFmtId="0" fontId="25" fillId="0" borderId="3" xfId="0" applyNumberFormat="1" applyFont="1" applyBorder="1" applyAlignment="1">
      <alignment horizontal="center"/>
    </xf>
    <xf numFmtId="166" fontId="25" fillId="0" borderId="3" xfId="0" applyNumberFormat="1" applyFont="1" applyBorder="1"/>
    <xf numFmtId="0" fontId="25" fillId="0" borderId="0" xfId="0" applyFont="1"/>
    <xf numFmtId="0" fontId="25" fillId="0" borderId="0" xfId="0" applyFont="1" applyFill="1" applyBorder="1"/>
    <xf numFmtId="0" fontId="25" fillId="0" borderId="0" xfId="0" applyNumberFormat="1" applyFont="1" applyBorder="1"/>
    <xf numFmtId="0" fontId="25" fillId="0" borderId="0" xfId="0" applyFont="1" applyBorder="1"/>
    <xf numFmtId="44" fontId="25" fillId="0" borderId="0" xfId="2" applyFont="1" applyBorder="1"/>
    <xf numFmtId="10" fontId="25" fillId="0" borderId="0" xfId="0" applyNumberFormat="1" applyFont="1" applyBorder="1"/>
    <xf numFmtId="44" fontId="25" fillId="0" borderId="0" xfId="0" applyNumberFormat="1" applyFont="1" applyBorder="1"/>
    <xf numFmtId="0" fontId="25" fillId="0" borderId="0" xfId="0" applyNumberFormat="1" applyFont="1" applyBorder="1" applyAlignment="1">
      <alignment horizontal="center"/>
    </xf>
    <xf numFmtId="166" fontId="25" fillId="0" borderId="0" xfId="0" applyNumberFormat="1" applyFont="1" applyBorder="1"/>
    <xf numFmtId="44" fontId="25" fillId="2" borderId="0" xfId="0" applyNumberFormat="1" applyFont="1" applyFill="1" applyBorder="1"/>
    <xf numFmtId="44" fontId="0" fillId="7" borderId="3" xfId="0" applyNumberFormat="1" applyFill="1" applyBorder="1"/>
    <xf numFmtId="0" fontId="0" fillId="0" borderId="0" xfId="0" applyAlignment="1">
      <alignment horizontal="center"/>
    </xf>
    <xf numFmtId="0" fontId="0" fillId="0" borderId="0" xfId="0" applyBorder="1" applyAlignment="1"/>
    <xf numFmtId="9" fontId="0" fillId="0" borderId="3" xfId="3" applyFont="1" applyBorder="1"/>
    <xf numFmtId="4" fontId="0" fillId="0" borderId="3" xfId="0" applyNumberFormat="1" applyBorder="1"/>
    <xf numFmtId="167" fontId="0" fillId="0" borderId="0" xfId="0" applyNumberFormat="1"/>
    <xf numFmtId="14" fontId="0" fillId="0" borderId="0" xfId="0" applyNumberFormat="1" applyAlignment="1">
      <alignment horizontal="right"/>
    </xf>
    <xf numFmtId="4" fontId="0" fillId="0" borderId="1" xfId="0" applyNumberFormat="1" applyBorder="1"/>
    <xf numFmtId="168" fontId="0" fillId="0" borderId="0" xfId="0" applyNumberFormat="1"/>
    <xf numFmtId="4" fontId="0" fillId="3" borderId="0" xfId="0" applyNumberFormat="1" applyFill="1"/>
    <xf numFmtId="0" fontId="0" fillId="12" borderId="0" xfId="0" applyFill="1"/>
    <xf numFmtId="166" fontId="0" fillId="12" borderId="0" xfId="0" applyNumberFormat="1" applyFill="1" applyAlignment="1">
      <alignment horizontal="right" indent="1"/>
    </xf>
    <xf numFmtId="0" fontId="0" fillId="2" borderId="0" xfId="0" applyFill="1" applyAlignment="1"/>
    <xf numFmtId="44" fontId="0" fillId="3" borderId="0" xfId="0" applyNumberFormat="1" applyFill="1" applyAlignment="1">
      <alignment horizontal="left" indent="1"/>
    </xf>
    <xf numFmtId="166" fontId="0" fillId="0" borderId="0" xfId="0" applyNumberFormat="1" applyAlignment="1">
      <alignment horizontal="left" indent="1"/>
    </xf>
    <xf numFmtId="166" fontId="0" fillId="12" borderId="1" xfId="0" applyNumberFormat="1" applyFill="1" applyBorder="1" applyAlignment="1">
      <alignment horizontal="left" indent="1"/>
    </xf>
    <xf numFmtId="166" fontId="0" fillId="12" borderId="0" xfId="0" applyNumberFormat="1" applyFill="1" applyAlignment="1">
      <alignment horizontal="left" indent="1"/>
    </xf>
    <xf numFmtId="0" fontId="15" fillId="0" borderId="0" xfId="0" applyFont="1"/>
    <xf numFmtId="0" fontId="26" fillId="0" borderId="10" xfId="0" applyFont="1" applyBorder="1" applyAlignment="1">
      <alignment horizontal="center" wrapText="1"/>
    </xf>
    <xf numFmtId="0" fontId="26" fillId="0" borderId="11" xfId="0" applyFont="1" applyBorder="1" applyAlignment="1">
      <alignment horizontal="center" wrapText="1"/>
    </xf>
    <xf numFmtId="0" fontId="26" fillId="0" borderId="12" xfId="0" applyFont="1"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0" fontId="26" fillId="0" borderId="13" xfId="0" applyFont="1" applyBorder="1" applyAlignment="1">
      <alignment horizontal="center" wrapText="1"/>
    </xf>
    <xf numFmtId="0" fontId="26" fillId="0" borderId="0" xfId="0" applyFont="1" applyBorder="1" applyAlignment="1">
      <alignment horizontal="center" wrapText="1"/>
    </xf>
    <xf numFmtId="0" fontId="26" fillId="0" borderId="14" xfId="0" applyFont="1" applyBorder="1" applyAlignment="1">
      <alignment horizontal="center" wrapText="1"/>
    </xf>
    <xf numFmtId="0" fontId="0" fillId="0" borderId="13" xfId="0" applyBorder="1" applyAlignment="1">
      <alignment horizontal="center" wrapText="1"/>
    </xf>
    <xf numFmtId="0" fontId="0" fillId="0" borderId="0" xfId="0" applyBorder="1" applyAlignment="1">
      <alignment horizontal="center" wrapText="1"/>
    </xf>
    <xf numFmtId="0" fontId="0" fillId="0" borderId="14" xfId="0" applyBorder="1" applyAlignment="1">
      <alignment horizontal="center" wrapText="1"/>
    </xf>
    <xf numFmtId="0" fontId="26" fillId="0" borderId="15" xfId="0" applyFont="1" applyBorder="1" applyAlignment="1">
      <alignment horizontal="center" wrapText="1"/>
    </xf>
    <xf numFmtId="0" fontId="26" fillId="0" borderId="16" xfId="0" applyFont="1" applyBorder="1" applyAlignment="1">
      <alignment horizontal="center" wrapText="1"/>
    </xf>
    <xf numFmtId="0" fontId="26" fillId="0" borderId="17" xfId="0" applyFont="1"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23" fillId="0" borderId="0" xfId="0" applyFont="1" applyAlignment="1">
      <alignment horizontal="center"/>
    </xf>
    <xf numFmtId="0" fontId="27" fillId="6" borderId="0" xfId="0" applyFont="1" applyFill="1"/>
    <xf numFmtId="166" fontId="0" fillId="0" borderId="0" xfId="0" applyNumberFormat="1"/>
    <xf numFmtId="0" fontId="23" fillId="0" borderId="18" xfId="0" applyFont="1" applyBorder="1"/>
    <xf numFmtId="0" fontId="23" fillId="0" borderId="0" xfId="0" applyFont="1"/>
    <xf numFmtId="44" fontId="23" fillId="0" borderId="0" xfId="0" applyNumberFormat="1" applyFont="1"/>
    <xf numFmtId="0" fontId="0" fillId="0" borderId="0" xfId="0" applyAlignment="1">
      <alignment horizontal="center" wrapText="1"/>
    </xf>
    <xf numFmtId="9" fontId="0" fillId="0" borderId="0" xfId="0" applyNumberFormat="1" applyAlignment="1">
      <alignment horizontal="center"/>
    </xf>
    <xf numFmtId="0" fontId="0" fillId="0" borderId="3" xfId="0" applyBorder="1" applyAlignment="1"/>
    <xf numFmtId="168" fontId="4" fillId="2" borderId="5" xfId="0" applyNumberFormat="1" applyFont="1" applyFill="1" applyBorder="1"/>
    <xf numFmtId="0" fontId="28" fillId="0" borderId="0" xfId="0" applyFont="1"/>
    <xf numFmtId="0" fontId="4" fillId="0" borderId="0" xfId="0" applyFont="1" applyAlignment="1">
      <alignment horizontal="center"/>
    </xf>
    <xf numFmtId="0" fontId="4" fillId="8" borderId="0" xfId="0" applyFont="1" applyFill="1" applyAlignment="1">
      <alignment horizontal="center"/>
    </xf>
    <xf numFmtId="0" fontId="5" fillId="3" borderId="0" xfId="0" applyFont="1" applyFill="1"/>
    <xf numFmtId="0" fontId="2" fillId="3" borderId="0" xfId="0" applyFont="1" applyFill="1"/>
    <xf numFmtId="0" fontId="2" fillId="8" borderId="0" xfId="0" applyFont="1" applyFill="1"/>
    <xf numFmtId="0" fontId="4" fillId="0" borderId="19" xfId="0" applyFont="1" applyBorder="1" applyAlignment="1">
      <alignment horizontal="center" vertical="top" wrapText="1"/>
    </xf>
    <xf numFmtId="0" fontId="4" fillId="0" borderId="20" xfId="0" applyFont="1" applyBorder="1" applyAlignment="1">
      <alignment horizontal="center" vertical="top" wrapText="1"/>
    </xf>
    <xf numFmtId="0" fontId="4" fillId="3" borderId="8" xfId="0" applyFont="1" applyFill="1" applyBorder="1" applyAlignment="1">
      <alignment horizontal="center" vertical="center"/>
    </xf>
    <xf numFmtId="0" fontId="4" fillId="8" borderId="8" xfId="0" applyFont="1" applyFill="1" applyBorder="1" applyAlignment="1">
      <alignment horizontal="center" vertical="center"/>
    </xf>
    <xf numFmtId="0" fontId="4" fillId="14" borderId="8" xfId="0" applyFont="1" applyFill="1" applyBorder="1" applyAlignment="1">
      <alignment horizontal="center" vertical="center"/>
    </xf>
    <xf numFmtId="0" fontId="18" fillId="3" borderId="8" xfId="0" applyFont="1" applyFill="1" applyBorder="1" applyAlignment="1">
      <alignment horizontal="center" vertical="center"/>
    </xf>
    <xf numFmtId="0" fontId="4" fillId="0" borderId="21" xfId="0" applyFont="1" applyBorder="1" applyAlignment="1">
      <alignment horizontal="center" vertical="top" wrapText="1"/>
    </xf>
    <xf numFmtId="0" fontId="4" fillId="0" borderId="22" xfId="0" applyFont="1" applyBorder="1" applyAlignment="1">
      <alignment horizontal="center" vertical="top" wrapText="1"/>
    </xf>
    <xf numFmtId="0" fontId="4" fillId="3"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14" borderId="9" xfId="0" applyFont="1" applyFill="1" applyBorder="1" applyAlignment="1">
      <alignment horizontal="center" vertical="center"/>
    </xf>
    <xf numFmtId="0" fontId="18" fillId="3" borderId="9" xfId="0" applyFont="1" applyFill="1" applyBorder="1" applyAlignment="1">
      <alignment horizontal="center" vertical="center"/>
    </xf>
    <xf numFmtId="0" fontId="0" fillId="0" borderId="23" xfId="0" applyBorder="1" applyAlignment="1">
      <alignment horizontal="left"/>
    </xf>
    <xf numFmtId="0" fontId="0" fillId="0" borderId="24" xfId="0" applyBorder="1" applyAlignment="1">
      <alignment horizontal="left"/>
    </xf>
    <xf numFmtId="169" fontId="0" fillId="0" borderId="3" xfId="0" applyNumberFormat="1" applyBorder="1"/>
    <xf numFmtId="169" fontId="24" fillId="0" borderId="3" xfId="0" applyNumberFormat="1" applyFont="1" applyBorder="1"/>
    <xf numFmtId="169" fontId="0" fillId="0" borderId="0" xfId="0" applyNumberFormat="1"/>
    <xf numFmtId="169" fontId="0" fillId="0" borderId="8" xfId="0" applyNumberFormat="1" applyBorder="1"/>
    <xf numFmtId="169" fontId="3" fillId="0" borderId="8" xfId="0" applyNumberFormat="1" applyFont="1" applyBorder="1"/>
    <xf numFmtId="0" fontId="0" fillId="0" borderId="2" xfId="0" applyBorder="1" applyAlignment="1">
      <alignment horizontal="left"/>
    </xf>
    <xf numFmtId="169" fontId="0" fillId="0" borderId="4" xfId="0" applyNumberFormat="1" applyBorder="1"/>
    <xf numFmtId="169" fontId="0" fillId="0" borderId="25" xfId="0" applyNumberFormat="1" applyBorder="1"/>
    <xf numFmtId="169" fontId="0" fillId="0" borderId="26" xfId="0" applyNumberFormat="1" applyBorder="1"/>
    <xf numFmtId="169" fontId="24" fillId="0" borderId="26" xfId="0" applyNumberFormat="1" applyFont="1" applyBorder="1"/>
    <xf numFmtId="169" fontId="29" fillId="0" borderId="9" xfId="0" applyNumberFormat="1" applyFont="1" applyBorder="1"/>
    <xf numFmtId="169" fontId="29" fillId="0" borderId="22" xfId="0" applyNumberFormat="1" applyFont="1" applyBorder="1"/>
    <xf numFmtId="169" fontId="24" fillId="0" borderId="9" xfId="0" applyNumberFormat="1" applyFont="1" applyBorder="1"/>
    <xf numFmtId="170" fontId="30" fillId="6" borderId="9" xfId="0" applyNumberFormat="1" applyFont="1" applyFill="1" applyBorder="1"/>
    <xf numFmtId="170" fontId="30" fillId="8" borderId="3" xfId="0" applyNumberFormat="1" applyFont="1" applyFill="1" applyBorder="1"/>
    <xf numFmtId="170" fontId="31" fillId="8" borderId="3" xfId="0" applyNumberFormat="1" applyFont="1" applyFill="1" applyBorder="1"/>
    <xf numFmtId="0" fontId="32" fillId="3" borderId="0" xfId="0" applyFont="1" applyFill="1" applyAlignment="1">
      <alignment horizontal="center" vertical="center"/>
    </xf>
    <xf numFmtId="0" fontId="32" fillId="3" borderId="0" xfId="0" applyFont="1" applyFill="1" applyAlignment="1">
      <alignment horizontal="center"/>
    </xf>
    <xf numFmtId="0" fontId="5" fillId="3" borderId="0" xfId="0" applyFont="1" applyFill="1" applyAlignment="1">
      <alignment horizontal="center"/>
    </xf>
    <xf numFmtId="169" fontId="24" fillId="2" borderId="3" xfId="0" applyNumberFormat="1" applyFont="1" applyFill="1" applyBorder="1"/>
    <xf numFmtId="169" fontId="24" fillId="2" borderId="27" xfId="0" applyNumberFormat="1" applyFont="1" applyFill="1" applyBorder="1"/>
    <xf numFmtId="0" fontId="0" fillId="0" borderId="18" xfId="0" applyBorder="1"/>
    <xf numFmtId="0" fontId="0" fillId="0" borderId="19" xfId="0" applyBorder="1" applyAlignment="1">
      <alignment horizontal="left" vertical="top" wrapText="1"/>
    </xf>
    <xf numFmtId="0" fontId="0" fillId="0" borderId="20" xfId="0" applyBorder="1" applyAlignment="1">
      <alignment horizontal="left" vertical="top" wrapText="1"/>
    </xf>
    <xf numFmtId="169" fontId="24" fillId="2" borderId="28" xfId="0" applyNumberFormat="1" applyFont="1" applyFill="1" applyBorder="1" applyAlignment="1">
      <alignment horizontal="center" vertical="center"/>
    </xf>
    <xf numFmtId="0" fontId="0" fillId="0" borderId="21" xfId="0" applyBorder="1" applyAlignment="1">
      <alignment horizontal="left" vertical="top" wrapText="1"/>
    </xf>
    <xf numFmtId="0" fontId="0" fillId="0" borderId="22" xfId="0" applyBorder="1" applyAlignment="1">
      <alignment horizontal="left" vertical="top" wrapText="1"/>
    </xf>
    <xf numFmtId="169" fontId="24" fillId="2" borderId="9" xfId="0" applyNumberFormat="1" applyFont="1" applyFill="1" applyBorder="1" applyAlignment="1">
      <alignment horizontal="center" vertical="center"/>
    </xf>
    <xf numFmtId="2" fontId="0" fillId="0" borderId="3" xfId="0" applyNumberFormat="1" applyBorder="1"/>
    <xf numFmtId="2" fontId="24" fillId="0" borderId="3" xfId="0" applyNumberFormat="1" applyFont="1" applyBorder="1"/>
    <xf numFmtId="166" fontId="0" fillId="14" borderId="0" xfId="0" applyNumberFormat="1" applyFill="1"/>
    <xf numFmtId="0" fontId="4" fillId="0" borderId="23" xfId="0" applyFont="1" applyBorder="1" applyAlignment="1">
      <alignment horizontal="left"/>
    </xf>
    <xf numFmtId="0" fontId="4" fillId="0" borderId="24" xfId="0" applyFont="1" applyBorder="1" applyAlignment="1">
      <alignment horizontal="left"/>
    </xf>
    <xf numFmtId="171" fontId="33" fillId="0" borderId="27" xfId="0" applyNumberFormat="1" applyFont="1" applyBorder="1"/>
    <xf numFmtId="171" fontId="34" fillId="0" borderId="27" xfId="0" applyNumberFormat="1" applyFont="1" applyBorder="1"/>
    <xf numFmtId="6" fontId="0" fillId="0" borderId="0" xfId="0" applyNumberFormat="1"/>
    <xf numFmtId="171" fontId="0" fillId="0" borderId="9" xfId="0" applyNumberFormat="1" applyBorder="1"/>
    <xf numFmtId="171" fontId="24" fillId="0" borderId="9" xfId="0" applyNumberFormat="1" applyFont="1" applyBorder="1"/>
    <xf numFmtId="171" fontId="3" fillId="0" borderId="9" xfId="0" applyNumberFormat="1" applyFont="1" applyBorder="1"/>
    <xf numFmtId="0" fontId="0" fillId="0" borderId="23" xfId="0" applyBorder="1" applyAlignment="1">
      <alignment horizontal="center"/>
    </xf>
    <xf numFmtId="0" fontId="0" fillId="0" borderId="24" xfId="0" applyBorder="1" applyAlignment="1">
      <alignment horizontal="center"/>
    </xf>
    <xf numFmtId="169" fontId="0" fillId="4" borderId="3" xfId="0" applyNumberFormat="1" applyFill="1" applyBorder="1"/>
    <xf numFmtId="169" fontId="0" fillId="2" borderId="3" xfId="0" applyNumberFormat="1" applyFill="1" applyBorder="1"/>
    <xf numFmtId="8" fontId="0" fillId="0" borderId="0" xfId="0" applyNumberFormat="1"/>
    <xf numFmtId="0" fontId="24" fillId="2" borderId="0" xfId="0" applyFont="1" applyFill="1"/>
    <xf numFmtId="169" fontId="0" fillId="2" borderId="0" xfId="0" applyNumberFormat="1" applyFill="1"/>
    <xf numFmtId="0" fontId="0" fillId="2" borderId="0" xfId="0" applyFill="1" applyBorder="1"/>
    <xf numFmtId="44" fontId="35" fillId="7" borderId="0" xfId="2" applyFont="1" applyFill="1"/>
    <xf numFmtId="44" fontId="0" fillId="7" borderId="0" xfId="2" applyFont="1" applyFill="1"/>
    <xf numFmtId="0" fontId="3" fillId="2" borderId="0" xfId="0" applyFont="1" applyFill="1"/>
    <xf numFmtId="0" fontId="13" fillId="0" borderId="29" xfId="0" applyFont="1" applyBorder="1" applyAlignment="1">
      <alignment horizontal="center" vertical="center" wrapText="1"/>
    </xf>
    <xf numFmtId="0" fontId="2" fillId="3" borderId="0" xfId="0" applyFont="1" applyFill="1" applyAlignment="1">
      <alignment horizontal="center" vertical="center"/>
    </xf>
    <xf numFmtId="0" fontId="36" fillId="2" borderId="0" xfId="0" applyFont="1" applyFill="1"/>
    <xf numFmtId="0" fontId="5" fillId="3" borderId="1" xfId="0" applyFont="1" applyFill="1" applyBorder="1" applyAlignment="1">
      <alignment horizontal="center"/>
    </xf>
    <xf numFmtId="0" fontId="5" fillId="3" borderId="18" xfId="0" applyFont="1" applyFill="1" applyBorder="1" applyAlignment="1">
      <alignment horizontal="center"/>
    </xf>
    <xf numFmtId="166" fontId="0" fillId="0" borderId="0" xfId="0" applyNumberFormat="1" applyAlignment="1">
      <alignment horizontal="center"/>
    </xf>
    <xf numFmtId="0" fontId="0" fillId="0" borderId="11" xfId="0" applyBorder="1"/>
    <xf numFmtId="0" fontId="13" fillId="0" borderId="29" xfId="0" applyFont="1" applyBorder="1" applyAlignment="1">
      <alignment horizontal="center" wrapText="1"/>
    </xf>
    <xf numFmtId="44" fontId="0" fillId="7" borderId="0" xfId="0" applyNumberFormat="1" applyFill="1"/>
    <xf numFmtId="0" fontId="22" fillId="2" borderId="0" xfId="0" applyFont="1" applyFill="1"/>
    <xf numFmtId="43" fontId="22" fillId="2" borderId="0" xfId="1" applyFont="1" applyFill="1"/>
    <xf numFmtId="44" fontId="22" fillId="2" borderId="0" xfId="2" applyFont="1" applyFill="1"/>
    <xf numFmtId="0" fontId="22" fillId="0" borderId="0" xfId="0" applyFont="1"/>
    <xf numFmtId="0" fontId="8" fillId="2" borderId="0" xfId="0" applyFont="1" applyFill="1" applyBorder="1" applyAlignment="1">
      <alignment horizontal="center"/>
    </xf>
    <xf numFmtId="43" fontId="11" fillId="2" borderId="0" xfId="1" applyFont="1" applyFill="1"/>
    <xf numFmtId="44" fontId="38" fillId="2" borderId="0" xfId="2" applyFont="1" applyFill="1"/>
    <xf numFmtId="10" fontId="8" fillId="2" borderId="0" xfId="3" applyNumberFormat="1" applyFont="1" applyFill="1" applyBorder="1" applyAlignment="1">
      <alignment horizontal="center"/>
    </xf>
    <xf numFmtId="43" fontId="8" fillId="2" borderId="0" xfId="1" applyFont="1" applyFill="1" applyAlignment="1">
      <alignment horizontal="center"/>
    </xf>
    <xf numFmtId="0" fontId="22" fillId="2" borderId="0" xfId="0" applyFont="1" applyFill="1" applyAlignment="1">
      <alignment horizontal="center"/>
    </xf>
    <xf numFmtId="43" fontId="11" fillId="7" borderId="0" xfId="1" applyFont="1" applyFill="1"/>
    <xf numFmtId="0" fontId="0" fillId="2" borderId="0" xfId="0" applyFill="1" applyAlignment="1">
      <alignment horizontal="right"/>
    </xf>
    <xf numFmtId="0" fontId="11" fillId="7" borderId="0" xfId="0" applyFont="1" applyFill="1"/>
    <xf numFmtId="43" fontId="11" fillId="7" borderId="0" xfId="1" applyFont="1" applyFill="1" applyAlignment="1">
      <alignment horizontal="center"/>
    </xf>
    <xf numFmtId="44" fontId="22" fillId="7" borderId="0" xfId="2" applyFont="1" applyFill="1"/>
    <xf numFmtId="44" fontId="38" fillId="7" borderId="0" xfId="2" applyFont="1" applyFill="1"/>
    <xf numFmtId="0" fontId="8" fillId="2" borderId="0" xfId="0" applyFont="1" applyFill="1" applyAlignment="1">
      <alignment horizontal="left"/>
    </xf>
    <xf numFmtId="44" fontId="39" fillId="2" borderId="0" xfId="2" applyFont="1" applyFill="1"/>
    <xf numFmtId="44" fontId="11" fillId="2" borderId="0" xfId="0" applyNumberFormat="1" applyFont="1" applyFill="1"/>
    <xf numFmtId="44" fontId="38" fillId="7" borderId="1" xfId="2" applyFont="1" applyFill="1" applyBorder="1"/>
    <xf numFmtId="0" fontId="8" fillId="2" borderId="0" xfId="0" applyFont="1" applyFill="1" applyAlignment="1">
      <alignment horizontal="left"/>
    </xf>
    <xf numFmtId="44" fontId="38" fillId="2" borderId="1" xfId="2" applyFont="1" applyFill="1" applyBorder="1"/>
    <xf numFmtId="0" fontId="11" fillId="2" borderId="0" xfId="0" applyFont="1" applyFill="1"/>
    <xf numFmtId="43" fontId="0" fillId="2" borderId="0" xfId="0" applyNumberFormat="1" applyFill="1"/>
    <xf numFmtId="10" fontId="38" fillId="2" borderId="1" xfId="3" applyNumberFormat="1" applyFont="1" applyFill="1" applyBorder="1"/>
    <xf numFmtId="2" fontId="0" fillId="2" borderId="0" xfId="0" applyNumberFormat="1" applyFill="1"/>
    <xf numFmtId="10" fontId="0" fillId="0" borderId="0" xfId="0" applyNumberFormat="1"/>
    <xf numFmtId="44" fontId="40" fillId="7" borderId="0" xfId="2" applyFont="1" applyFill="1"/>
    <xf numFmtId="0" fontId="8" fillId="2" borderId="0" xfId="0" applyFont="1" applyFill="1" applyAlignment="1">
      <alignment horizontal="center"/>
    </xf>
    <xf numFmtId="43" fontId="11" fillId="2" borderId="0" xfId="1" applyFont="1" applyFill="1" applyAlignment="1">
      <alignment horizontal="center"/>
    </xf>
    <xf numFmtId="44" fontId="11" fillId="2" borderId="0" xfId="2" applyFont="1" applyFill="1"/>
    <xf numFmtId="0" fontId="8" fillId="2" borderId="0" xfId="0" applyFont="1" applyFill="1" applyBorder="1" applyAlignment="1">
      <alignment horizontal="left"/>
    </xf>
    <xf numFmtId="4" fontId="11" fillId="2" borderId="0" xfId="2" applyNumberFormat="1" applyFont="1" applyFill="1" applyBorder="1"/>
    <xf numFmtId="44" fontId="38" fillId="2" borderId="0" xfId="2" applyFont="1" applyFill="1" applyBorder="1"/>
    <xf numFmtId="0" fontId="8" fillId="2" borderId="0" xfId="0" applyFont="1" applyFill="1" applyBorder="1" applyAlignment="1">
      <alignment horizontal="left"/>
    </xf>
    <xf numFmtId="0" fontId="8" fillId="2" borderId="0" xfId="0" applyFont="1" applyFill="1" applyBorder="1"/>
    <xf numFmtId="43" fontId="11" fillId="2" borderId="0" xfId="1" applyFont="1" applyFill="1" applyBorder="1"/>
    <xf numFmtId="43" fontId="0" fillId="2" borderId="0" xfId="0" applyNumberFormat="1" applyFill="1" applyBorder="1"/>
    <xf numFmtId="44" fontId="41" fillId="0" borderId="0" xfId="0" applyNumberFormat="1" applyFont="1" applyBorder="1"/>
    <xf numFmtId="0" fontId="7" fillId="0" borderId="0" xfId="0" applyFont="1"/>
    <xf numFmtId="0" fontId="42" fillId="0" borderId="1" xfId="0" applyFont="1" applyBorder="1" applyAlignment="1">
      <alignment horizontal="center"/>
    </xf>
    <xf numFmtId="0" fontId="4" fillId="0" borderId="0" xfId="0" applyFont="1" applyAlignment="1">
      <alignment horizontal="center" vertical="center" wrapText="1"/>
    </xf>
    <xf numFmtId="0" fontId="7" fillId="2" borderId="0" xfId="0" applyFont="1" applyFill="1" applyBorder="1"/>
    <xf numFmtId="0" fontId="42" fillId="2" borderId="0" xfId="0" applyFont="1" applyFill="1" applyBorder="1" applyAlignment="1">
      <alignment horizontal="center"/>
    </xf>
    <xf numFmtId="0" fontId="4" fillId="2" borderId="0" xfId="0" applyFont="1" applyFill="1" applyBorder="1" applyAlignment="1">
      <alignment horizontal="center" vertical="center" wrapText="1"/>
    </xf>
    <xf numFmtId="4" fontId="0" fillId="2" borderId="0" xfId="0" applyNumberFormat="1" applyFill="1" applyBorder="1" applyAlignment="1">
      <alignment horizontal="right" vertical="center"/>
    </xf>
    <xf numFmtId="0" fontId="0" fillId="2" borderId="0" xfId="0" applyFill="1" applyBorder="1" applyAlignment="1">
      <alignment horizontal="right" vertical="center"/>
    </xf>
    <xf numFmtId="2" fontId="0" fillId="2" borderId="0" xfId="0" applyNumberFormat="1" applyFill="1" applyBorder="1" applyAlignment="1">
      <alignment horizontal="right" vertical="center"/>
    </xf>
    <xf numFmtId="10" fontId="0" fillId="2" borderId="0" xfId="0" applyNumberFormat="1" applyFill="1" applyBorder="1" applyAlignment="1">
      <alignment horizontal="center" vertical="center"/>
    </xf>
    <xf numFmtId="44" fontId="15" fillId="0" borderId="0" xfId="0" applyNumberFormat="1" applyFont="1"/>
    <xf numFmtId="0" fontId="4" fillId="0" borderId="1" xfId="0" applyFont="1" applyBorder="1" applyAlignment="1"/>
    <xf numFmtId="0" fontId="8" fillId="2" borderId="3" xfId="0" applyFont="1" applyFill="1" applyBorder="1"/>
    <xf numFmtId="164" fontId="4" fillId="2" borderId="0" xfId="2" applyNumberFormat="1" applyFont="1" applyFill="1" applyAlignment="1">
      <alignment horizontal="center"/>
    </xf>
    <xf numFmtId="164" fontId="4" fillId="2" borderId="0" xfId="2" applyNumberFormat="1" applyFont="1" applyFill="1" applyBorder="1" applyAlignment="1">
      <alignment horizontal="center"/>
    </xf>
    <xf numFmtId="164" fontId="8" fillId="7" borderId="0" xfId="2" applyNumberFormat="1" applyFont="1" applyFill="1" applyAlignment="1">
      <alignment horizontal="center"/>
    </xf>
    <xf numFmtId="164" fontId="43" fillId="7" borderId="4" xfId="0" applyNumberFormat="1" applyFont="1" applyFill="1" applyBorder="1"/>
    <xf numFmtId="0" fontId="18" fillId="7" borderId="0" xfId="0" applyFont="1" applyFill="1"/>
    <xf numFmtId="164" fontId="0" fillId="2" borderId="0" xfId="2" applyNumberFormat="1" applyFont="1" applyFill="1" applyBorder="1" applyAlignment="1">
      <alignment horizontal="center"/>
    </xf>
    <xf numFmtId="0" fontId="44" fillId="0" borderId="0" xfId="0" applyFont="1" applyAlignment="1">
      <alignment horizontal="center" vertical="center" wrapText="1"/>
    </xf>
    <xf numFmtId="0" fontId="43" fillId="2" borderId="3" xfId="0" applyFont="1" applyFill="1" applyBorder="1"/>
    <xf numFmtId="164" fontId="45" fillId="7" borderId="5" xfId="2" applyNumberFormat="1" applyFont="1" applyFill="1" applyBorder="1" applyAlignment="1">
      <alignment horizontal="center"/>
    </xf>
    <xf numFmtId="164" fontId="46" fillId="13" borderId="4" xfId="2" applyNumberFormat="1" applyFont="1" applyFill="1" applyBorder="1" applyAlignment="1">
      <alignment horizontal="center"/>
    </xf>
    <xf numFmtId="43" fontId="38" fillId="7" borderId="0" xfId="2" applyNumberFormat="1" applyFont="1" applyFill="1"/>
    <xf numFmtId="44" fontId="22" fillId="2" borderId="0" xfId="2" applyFont="1" applyFill="1" applyAlignment="1">
      <alignment horizontal="center"/>
    </xf>
    <xf numFmtId="44" fontId="22" fillId="2" borderId="0" xfId="2" applyFont="1" applyFill="1" applyBorder="1" applyAlignment="1">
      <alignment horizontal="center"/>
    </xf>
    <xf numFmtId="0" fontId="49" fillId="17" borderId="0" xfId="0" applyFont="1" applyFill="1" applyAlignment="1">
      <alignment horizontal="center"/>
    </xf>
    <xf numFmtId="0" fontId="47" fillId="0" borderId="0" xfId="0" applyFont="1" applyAlignment="1">
      <alignment horizontal="center"/>
    </xf>
    <xf numFmtId="0" fontId="48" fillId="15" borderId="30" xfId="0" applyFont="1" applyFill="1" applyBorder="1" applyAlignment="1">
      <alignment horizontal="center" vertical="top"/>
    </xf>
    <xf numFmtId="0" fontId="48" fillId="15" borderId="31" xfId="0" applyFont="1" applyFill="1" applyBorder="1" applyAlignment="1">
      <alignment horizontal="center" vertical="top"/>
    </xf>
    <xf numFmtId="0" fontId="47" fillId="16" borderId="32" xfId="0" applyFont="1" applyFill="1" applyBorder="1" applyAlignment="1">
      <alignment horizontal="center"/>
    </xf>
    <xf numFmtId="0" fontId="48" fillId="15" borderId="33" xfId="0" applyFont="1" applyFill="1" applyBorder="1" applyAlignment="1">
      <alignment horizontal="center" vertical="top"/>
    </xf>
    <xf numFmtId="0" fontId="47" fillId="16" borderId="0" xfId="0" applyFont="1" applyFill="1" applyBorder="1" applyAlignment="1">
      <alignment horizontal="center"/>
    </xf>
    <xf numFmtId="0" fontId="50" fillId="18" borderId="33" xfId="0" applyFont="1" applyFill="1" applyBorder="1" applyAlignment="1">
      <alignment horizontal="center" vertical="top"/>
    </xf>
    <xf numFmtId="0" fontId="50" fillId="12" borderId="33" xfId="0" applyFont="1" applyFill="1" applyBorder="1" applyAlignment="1">
      <alignment horizontal="center" vertical="top"/>
    </xf>
    <xf numFmtId="0" fontId="50" fillId="12" borderId="0" xfId="0" applyFont="1" applyFill="1" applyAlignment="1">
      <alignment horizontal="center"/>
    </xf>
    <xf numFmtId="0" fontId="47" fillId="12" borderId="0" xfId="0" applyFont="1" applyFill="1" applyAlignment="1">
      <alignment horizontal="center"/>
    </xf>
    <xf numFmtId="0" fontId="11" fillId="18" borderId="31" xfId="0" applyFont="1" applyFill="1" applyBorder="1" applyAlignment="1">
      <alignment horizontal="center" vertical="top"/>
    </xf>
    <xf numFmtId="0" fontId="11" fillId="18" borderId="0" xfId="0" applyFont="1" applyFill="1" applyBorder="1" applyAlignment="1">
      <alignment horizontal="center" vertical="top"/>
    </xf>
    <xf numFmtId="0" fontId="51" fillId="12" borderId="33" xfId="0" applyFont="1" applyFill="1" applyBorder="1" applyAlignment="1">
      <alignment horizontal="center" vertical="top"/>
    </xf>
    <xf numFmtId="0" fontId="51" fillId="12" borderId="0" xfId="0" applyFont="1" applyFill="1" applyAlignment="1">
      <alignment horizontal="center"/>
    </xf>
    <xf numFmtId="0" fontId="8" fillId="2" borderId="6" xfId="0" applyFont="1" applyFill="1" applyBorder="1" applyAlignment="1">
      <alignment vertical="center"/>
    </xf>
    <xf numFmtId="0" fontId="8" fillId="2" borderId="42" xfId="0" applyFont="1" applyFill="1" applyBorder="1" applyAlignment="1">
      <alignment vertical="center"/>
    </xf>
    <xf numFmtId="0" fontId="8" fillId="2" borderId="42" xfId="0" applyFont="1" applyFill="1" applyBorder="1" applyAlignment="1">
      <alignment horizontal="center" vertical="center"/>
    </xf>
    <xf numFmtId="0" fontId="0" fillId="2" borderId="43" xfId="0" applyFill="1" applyBorder="1" applyAlignment="1">
      <alignment vertical="center"/>
    </xf>
    <xf numFmtId="0" fontId="22" fillId="2" borderId="34" xfId="0" applyFont="1" applyFill="1" applyBorder="1" applyAlignment="1">
      <alignment horizontal="left" vertical="top"/>
    </xf>
    <xf numFmtId="0" fontId="37" fillId="0" borderId="35" xfId="0" applyFont="1" applyBorder="1" applyAlignment="1">
      <alignment horizontal="left" vertical="top"/>
    </xf>
    <xf numFmtId="0" fontId="22" fillId="2" borderId="35" xfId="0" applyFont="1" applyFill="1" applyBorder="1" applyAlignment="1">
      <alignment horizontal="left" vertical="top"/>
    </xf>
    <xf numFmtId="0" fontId="22" fillId="2" borderId="36" xfId="0" applyFont="1" applyFill="1" applyBorder="1" applyAlignment="1">
      <alignment horizontal="left" vertical="top"/>
    </xf>
    <xf numFmtId="0" fontId="22" fillId="2" borderId="37" xfId="0" applyFont="1" applyFill="1" applyBorder="1" applyAlignment="1">
      <alignment horizontal="left" vertical="top"/>
    </xf>
    <xf numFmtId="0" fontId="37" fillId="0" borderId="0" xfId="0" applyFont="1" applyBorder="1" applyAlignment="1">
      <alignment horizontal="left" vertical="top"/>
    </xf>
    <xf numFmtId="0" fontId="22" fillId="2" borderId="0" xfId="0" applyFont="1" applyFill="1" applyBorder="1" applyAlignment="1">
      <alignment horizontal="left" vertical="top"/>
    </xf>
    <xf numFmtId="0" fontId="22" fillId="2" borderId="38" xfId="0" applyFont="1" applyFill="1" applyBorder="1" applyAlignment="1">
      <alignment horizontal="left" vertical="top"/>
    </xf>
    <xf numFmtId="0" fontId="22" fillId="2" borderId="39" xfId="0" applyFont="1" applyFill="1" applyBorder="1" applyAlignment="1">
      <alignment horizontal="left" vertical="top"/>
    </xf>
    <xf numFmtId="172" fontId="22" fillId="2" borderId="40" xfId="0" applyNumberFormat="1" applyFont="1" applyFill="1" applyBorder="1" applyAlignment="1">
      <alignment horizontal="left" vertical="top"/>
    </xf>
    <xf numFmtId="0" fontId="22" fillId="2" borderId="40" xfId="0" applyFont="1" applyFill="1" applyBorder="1" applyAlignment="1">
      <alignment horizontal="left" vertical="top"/>
    </xf>
    <xf numFmtId="0" fontId="22" fillId="2" borderId="41" xfId="0" applyFont="1" applyFill="1" applyBorder="1" applyAlignment="1">
      <alignment horizontal="left" vertical="top"/>
    </xf>
    <xf numFmtId="44" fontId="22" fillId="2" borderId="6" xfId="2" applyFont="1" applyFill="1" applyBorder="1" applyAlignment="1">
      <alignment horizontal="center"/>
    </xf>
    <xf numFmtId="44" fontId="22" fillId="2" borderId="42" xfId="2" applyFont="1" applyFill="1" applyBorder="1" applyAlignment="1">
      <alignment horizontal="center"/>
    </xf>
    <xf numFmtId="44" fontId="22" fillId="2" borderId="43" xfId="2" applyFont="1" applyFill="1" applyBorder="1" applyAlignment="1">
      <alignment horizontal="center"/>
    </xf>
    <xf numFmtId="4" fontId="10" fillId="2" borderId="0" xfId="2" applyNumberFormat="1" applyFont="1" applyFill="1" applyBorder="1"/>
    <xf numFmtId="44" fontId="52" fillId="2" borderId="0" xfId="2" applyFont="1" applyFill="1" applyBorder="1" applyAlignment="1">
      <alignment horizontal="center"/>
    </xf>
  </cellXfs>
  <cellStyles count="4">
    <cellStyle name="Millares" xfId="1" builtinId="3"/>
    <cellStyle name="Moneda" xfId="2" builtinId="4"/>
    <cellStyle name="Normal" xfId="0" builtinId="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10</xdr:col>
      <xdr:colOff>447675</xdr:colOff>
      <xdr:row>2</xdr:row>
      <xdr:rowOff>104775</xdr:rowOff>
    </xdr:from>
    <xdr:to>
      <xdr:col>12</xdr:col>
      <xdr:colOff>714375</xdr:colOff>
      <xdr:row>6</xdr:row>
      <xdr:rowOff>1104900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53425" y="485775"/>
          <a:ext cx="1790700" cy="1895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0</xdr:row>
      <xdr:rowOff>76200</xdr:rowOff>
    </xdr:from>
    <xdr:to>
      <xdr:col>0</xdr:col>
      <xdr:colOff>1371600</xdr:colOff>
      <xdr:row>5</xdr:row>
      <xdr:rowOff>8663</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80" t="13096" r="-1980" b="-1"/>
        <a:stretch/>
      </xdr:blipFill>
      <xdr:spPr>
        <a:xfrm>
          <a:off x="409575" y="76200"/>
          <a:ext cx="962025" cy="884963"/>
        </a:xfrm>
        <a:prstGeom prst="rect">
          <a:avLst/>
        </a:prstGeom>
      </xdr:spPr>
    </xdr:pic>
    <xdr:clientData/>
  </xdr:twoCellAnchor>
  <xdr:twoCellAnchor editAs="oneCell">
    <xdr:from>
      <xdr:col>2</xdr:col>
      <xdr:colOff>352425</xdr:colOff>
      <xdr:row>0</xdr:row>
      <xdr:rowOff>66675</xdr:rowOff>
    </xdr:from>
    <xdr:to>
      <xdr:col>3</xdr:col>
      <xdr:colOff>371475</xdr:colOff>
      <xdr:row>4</xdr:row>
      <xdr:rowOff>189638</xdr:rowOff>
    </xdr:to>
    <xdr:pic>
      <xdr:nvPicPr>
        <xdr:cNvPr id="3" name="Imagen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80" t="13096" r="-1980" b="-1"/>
        <a:stretch/>
      </xdr:blipFill>
      <xdr:spPr>
        <a:xfrm>
          <a:off x="2371725" y="66675"/>
          <a:ext cx="962025" cy="884963"/>
        </a:xfrm>
        <a:prstGeom prst="rect">
          <a:avLst/>
        </a:prstGeom>
      </xdr:spPr>
    </xdr:pic>
    <xdr:clientData/>
  </xdr:twoCellAnchor>
  <xdr:twoCellAnchor editAs="oneCell">
    <xdr:from>
      <xdr:col>4</xdr:col>
      <xdr:colOff>381000</xdr:colOff>
      <xdr:row>0</xdr:row>
      <xdr:rowOff>95250</xdr:rowOff>
    </xdr:from>
    <xdr:to>
      <xdr:col>5</xdr:col>
      <xdr:colOff>152400</xdr:colOff>
      <xdr:row>5</xdr:row>
      <xdr:rowOff>27713</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80" t="13096" r="-1980" b="-1"/>
        <a:stretch/>
      </xdr:blipFill>
      <xdr:spPr>
        <a:xfrm>
          <a:off x="4438650" y="95250"/>
          <a:ext cx="962025" cy="884963"/>
        </a:xfrm>
        <a:prstGeom prst="rect">
          <a:avLst/>
        </a:prstGeom>
      </xdr:spPr>
    </xdr:pic>
    <xdr:clientData/>
  </xdr:twoCellAnchor>
  <xdr:twoCellAnchor editAs="oneCell">
    <xdr:from>
      <xdr:col>9</xdr:col>
      <xdr:colOff>685800</xdr:colOff>
      <xdr:row>0</xdr:row>
      <xdr:rowOff>47625</xdr:rowOff>
    </xdr:from>
    <xdr:to>
      <xdr:col>10</xdr:col>
      <xdr:colOff>704850</xdr:colOff>
      <xdr:row>4</xdr:row>
      <xdr:rowOff>170588</xdr:rowOff>
    </xdr:to>
    <xdr:pic>
      <xdr:nvPicPr>
        <xdr:cNvPr id="5" name="Imagen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80" t="13096" r="-1980" b="-1"/>
        <a:stretch/>
      </xdr:blipFill>
      <xdr:spPr>
        <a:xfrm>
          <a:off x="9705975" y="47625"/>
          <a:ext cx="962025" cy="884963"/>
        </a:xfrm>
        <a:prstGeom prst="rect">
          <a:avLst/>
        </a:prstGeom>
      </xdr:spPr>
    </xdr:pic>
    <xdr:clientData/>
  </xdr:twoCellAnchor>
  <xdr:twoCellAnchor editAs="oneCell">
    <xdr:from>
      <xdr:col>11</xdr:col>
      <xdr:colOff>561975</xdr:colOff>
      <xdr:row>0</xdr:row>
      <xdr:rowOff>85725</xdr:rowOff>
    </xdr:from>
    <xdr:to>
      <xdr:col>12</xdr:col>
      <xdr:colOff>581025</xdr:colOff>
      <xdr:row>5</xdr:row>
      <xdr:rowOff>18188</xdr:rowOff>
    </xdr:to>
    <xdr:pic>
      <xdr:nvPicPr>
        <xdr:cNvPr id="6" name="Imagen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80" t="13096" r="-1980" b="-1"/>
        <a:stretch/>
      </xdr:blipFill>
      <xdr:spPr>
        <a:xfrm>
          <a:off x="11468100" y="85725"/>
          <a:ext cx="962025" cy="884963"/>
        </a:xfrm>
        <a:prstGeom prst="rect">
          <a:avLst/>
        </a:prstGeom>
      </xdr:spPr>
    </xdr:pic>
    <xdr:clientData/>
  </xdr:twoCellAnchor>
  <xdr:twoCellAnchor editAs="oneCell">
    <xdr:from>
      <xdr:col>13</xdr:col>
      <xdr:colOff>476250</xdr:colOff>
      <xdr:row>0</xdr:row>
      <xdr:rowOff>95250</xdr:rowOff>
    </xdr:from>
    <xdr:to>
      <xdr:col>15</xdr:col>
      <xdr:colOff>295275</xdr:colOff>
      <xdr:row>5</xdr:row>
      <xdr:rowOff>27713</xdr:rowOff>
    </xdr:to>
    <xdr:pic>
      <xdr:nvPicPr>
        <xdr:cNvPr id="7" name="Imagen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80" t="13096" r="-1980" b="-1"/>
        <a:stretch/>
      </xdr:blipFill>
      <xdr:spPr>
        <a:xfrm>
          <a:off x="13268325" y="95250"/>
          <a:ext cx="962025" cy="8849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771524</xdr:colOff>
      <xdr:row>0</xdr:row>
      <xdr:rowOff>0</xdr:rowOff>
    </xdr:from>
    <xdr:to>
      <xdr:col>10</xdr:col>
      <xdr:colOff>276224</xdr:colOff>
      <xdr:row>14</xdr:row>
      <xdr:rowOff>245573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7699" y="0"/>
          <a:ext cx="3057525" cy="32364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663767</xdr:colOff>
      <xdr:row>1</xdr:row>
      <xdr:rowOff>124733</xdr:rowOff>
    </xdr:from>
    <xdr:to>
      <xdr:col>22</xdr:col>
      <xdr:colOff>237712</xdr:colOff>
      <xdr:row>11</xdr:row>
      <xdr:rowOff>235108</xdr:rowOff>
    </xdr:to>
    <xdr:pic>
      <xdr:nvPicPr>
        <xdr:cNvPr id="2" name="Imagen 1"/>
        <xdr:cNvPicPr>
          <a:picLocks noChangeAspect="1"/>
        </xdr:cNvPicPr>
      </xdr:nvPicPr>
      <xdr:blipFill>
        <a:blip xmlns:r="http://schemas.openxmlformats.org/officeDocument/2006/relationships" r:embed="rId1"/>
        <a:stretch>
          <a:fillRect/>
        </a:stretch>
      </xdr:blipFill>
      <xdr:spPr>
        <a:xfrm>
          <a:off x="12827192" y="315233"/>
          <a:ext cx="5041295" cy="2024900"/>
        </a:xfrm>
        <a:prstGeom prst="rect">
          <a:avLst/>
        </a:prstGeom>
      </xdr:spPr>
    </xdr:pic>
    <xdr:clientData/>
  </xdr:twoCellAnchor>
  <xdr:twoCellAnchor editAs="oneCell">
    <xdr:from>
      <xdr:col>57</xdr:col>
      <xdr:colOff>0</xdr:colOff>
      <xdr:row>16</xdr:row>
      <xdr:rowOff>166687</xdr:rowOff>
    </xdr:from>
    <xdr:to>
      <xdr:col>70</xdr:col>
      <xdr:colOff>285751</xdr:colOff>
      <xdr:row>35</xdr:row>
      <xdr:rowOff>161516</xdr:rowOff>
    </xdr:to>
    <xdr:pic>
      <xdr:nvPicPr>
        <xdr:cNvPr id="3" name="Imagen 2"/>
        <xdr:cNvPicPr>
          <a:picLocks noChangeAspect="1"/>
        </xdr:cNvPicPr>
      </xdr:nvPicPr>
      <xdr:blipFill rotWithShape="1">
        <a:blip xmlns:r="http://schemas.openxmlformats.org/officeDocument/2006/relationships" r:embed="rId2"/>
        <a:srcRect l="4576" t="38416" r="14703" b="7215"/>
        <a:stretch/>
      </xdr:blipFill>
      <xdr:spPr>
        <a:xfrm>
          <a:off x="48663225" y="3290887"/>
          <a:ext cx="10496551" cy="3985804"/>
        </a:xfrm>
        <a:prstGeom prst="rect">
          <a:avLst/>
        </a:prstGeom>
      </xdr:spPr>
    </xdr:pic>
    <xdr:clientData/>
  </xdr:twoCellAnchor>
  <xdr:twoCellAnchor editAs="oneCell">
    <xdr:from>
      <xdr:col>56</xdr:col>
      <xdr:colOff>547688</xdr:colOff>
      <xdr:row>38</xdr:row>
      <xdr:rowOff>0</xdr:rowOff>
    </xdr:from>
    <xdr:to>
      <xdr:col>70</xdr:col>
      <xdr:colOff>714377</xdr:colOff>
      <xdr:row>56</xdr:row>
      <xdr:rowOff>0</xdr:rowOff>
    </xdr:to>
    <xdr:pic>
      <xdr:nvPicPr>
        <xdr:cNvPr id="4" name="Imagen 3"/>
        <xdr:cNvPicPr>
          <a:picLocks noChangeAspect="1"/>
        </xdr:cNvPicPr>
      </xdr:nvPicPr>
      <xdr:blipFill rotWithShape="1">
        <a:blip xmlns:r="http://schemas.openxmlformats.org/officeDocument/2006/relationships" r:embed="rId3"/>
        <a:srcRect l="18487" t="50136" r="14887" b="13401"/>
        <a:stretch/>
      </xdr:blipFill>
      <xdr:spPr>
        <a:xfrm>
          <a:off x="48448913" y="7686675"/>
          <a:ext cx="11139489" cy="3429000"/>
        </a:xfrm>
        <a:prstGeom prst="rect">
          <a:avLst/>
        </a:prstGeom>
      </xdr:spPr>
    </xdr:pic>
    <xdr:clientData/>
  </xdr:twoCellAnchor>
  <xdr:twoCellAnchor editAs="oneCell">
    <xdr:from>
      <xdr:col>71</xdr:col>
      <xdr:colOff>428625</xdr:colOff>
      <xdr:row>18</xdr:row>
      <xdr:rowOff>0</xdr:rowOff>
    </xdr:from>
    <xdr:to>
      <xdr:col>81</xdr:col>
      <xdr:colOff>642937</xdr:colOff>
      <xdr:row>31</xdr:row>
      <xdr:rowOff>113891</xdr:rowOff>
    </xdr:to>
    <xdr:pic>
      <xdr:nvPicPr>
        <xdr:cNvPr id="5" name="Imagen 4"/>
        <xdr:cNvPicPr>
          <a:picLocks noChangeAspect="1"/>
        </xdr:cNvPicPr>
      </xdr:nvPicPr>
      <xdr:blipFill rotWithShape="1">
        <a:blip xmlns:r="http://schemas.openxmlformats.org/officeDocument/2006/relationships" r:embed="rId4"/>
        <a:srcRect l="5308" t="39067" r="34472" b="20564"/>
        <a:stretch/>
      </xdr:blipFill>
      <xdr:spPr>
        <a:xfrm>
          <a:off x="60064650" y="3505200"/>
          <a:ext cx="7834312" cy="29618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CARGAS/DI%20-%2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0RESPALDO/CURSOS%20C.C.M.%20TODOS/CIERRE%20ANUAL%20P.F/CALCULO%20ANUAL%202022/PERDIDAS,%20DEDUCCION,%20FISC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C"/>
      <sheetName val="D.I."/>
    </sheetNames>
    <sheetDataSet>
      <sheetData sheetId="0">
        <row r="2">
          <cell r="E2">
            <v>120.809</v>
          </cell>
          <cell r="G2">
            <v>122.044</v>
          </cell>
          <cell r="I2">
            <v>123.803</v>
          </cell>
          <cell r="K2">
            <v>125.276</v>
          </cell>
        </row>
        <row r="3">
          <cell r="G3">
            <v>113.018</v>
          </cell>
        </row>
        <row r="4">
          <cell r="G4">
            <v>106.74299999999999</v>
          </cell>
          <cell r="I4">
            <v>107.867</v>
          </cell>
          <cell r="K4">
            <v>108.774</v>
          </cell>
        </row>
        <row r="5">
          <cell r="G5">
            <v>103.29900000000001</v>
          </cell>
          <cell r="J5">
            <v>103.94199999999999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
      <sheetName val="PAGOS P TITULO II"/>
      <sheetName val="PAGOS P FLUJO"/>
      <sheetName val="PAGO PERDIDA"/>
      <sheetName val="PERDIDA EJERCICIO"/>
      <sheetName val="VENTA ACTIVO"/>
      <sheetName val="INPC"/>
      <sheetName val="DEPRECIACION"/>
      <sheetName val="AJUSTE ANUAL"/>
      <sheetName val="AJUSTE C-D"/>
      <sheetName val="CON-FIS"/>
      <sheetName val="ISR"/>
      <sheetName val="C.U"/>
      <sheetName val="PTU"/>
      <sheetName val="UFIN."/>
      <sheetName val="UFIN"/>
      <sheetName val="CUFIN1"/>
      <sheetName val="CUCA."/>
      <sheetName val="RESERVA LEGAL"/>
      <sheetName val="."/>
      <sheetName val="CUCA"/>
    </sheetNames>
    <sheetDataSet>
      <sheetData sheetId="0" refreshError="1"/>
      <sheetData sheetId="1" refreshError="1"/>
      <sheetData sheetId="2" refreshError="1"/>
      <sheetData sheetId="3" refreshError="1"/>
      <sheetData sheetId="4" refreshError="1"/>
      <sheetData sheetId="5" refreshError="1"/>
      <sheetData sheetId="6">
        <row r="3">
          <cell r="B3">
            <v>110.21</v>
          </cell>
          <cell r="C3">
            <v>110.907</v>
          </cell>
          <cell r="D3">
            <v>111.824</v>
          </cell>
        </row>
        <row r="5">
          <cell r="B5">
            <v>103.108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showGridLines="0" topLeftCell="A112" workbookViewId="0">
      <selection activeCell="B110" sqref="B110:I127"/>
    </sheetView>
  </sheetViews>
  <sheetFormatPr baseColWidth="10" defaultRowHeight="15" x14ac:dyDescent="0.25"/>
  <cols>
    <col min="3" max="4" width="12.7109375" bestFit="1" customWidth="1"/>
    <col min="9" max="9" width="13.140625" bestFit="1" customWidth="1"/>
  </cols>
  <sheetData>
    <row r="1" spans="1:10" x14ac:dyDescent="0.25">
      <c r="A1" t="s">
        <v>0</v>
      </c>
    </row>
    <row r="3" spans="1:10" ht="15" customHeight="1" x14ac:dyDescent="0.25"/>
    <row r="4" spans="1:10" ht="23.25" x14ac:dyDescent="0.25">
      <c r="B4" s="1" t="s">
        <v>1</v>
      </c>
      <c r="C4" s="1"/>
      <c r="D4" s="1"/>
      <c r="E4" s="1"/>
      <c r="F4" s="1"/>
      <c r="G4" s="1"/>
      <c r="H4" s="1"/>
      <c r="I4" s="1"/>
      <c r="J4" s="1"/>
    </row>
    <row r="6" spans="1:10" ht="17.25" x14ac:dyDescent="0.25">
      <c r="B6" s="2" t="s">
        <v>2</v>
      </c>
      <c r="C6" s="2"/>
      <c r="D6" s="2"/>
      <c r="E6" s="2"/>
      <c r="G6" s="2" t="s">
        <v>3</v>
      </c>
      <c r="H6" s="2"/>
      <c r="I6" s="2"/>
      <c r="J6" s="2"/>
    </row>
    <row r="7" spans="1:10" ht="105" x14ac:dyDescent="0.25">
      <c r="B7" s="3" t="s">
        <v>4</v>
      </c>
      <c r="C7" s="3" t="s">
        <v>5</v>
      </c>
      <c r="D7" s="3" t="s">
        <v>6</v>
      </c>
      <c r="E7" s="3" t="s">
        <v>7</v>
      </c>
      <c r="F7" s="4"/>
      <c r="G7" s="3" t="s">
        <v>4</v>
      </c>
      <c r="H7" s="3" t="s">
        <v>5</v>
      </c>
      <c r="I7" s="3" t="s">
        <v>6</v>
      </c>
      <c r="J7" s="3" t="s">
        <v>7</v>
      </c>
    </row>
    <row r="8" spans="1:10" x14ac:dyDescent="0.25">
      <c r="B8" s="5">
        <v>0.01</v>
      </c>
      <c r="C8" s="6">
        <v>764.04</v>
      </c>
      <c r="D8" s="7">
        <v>0</v>
      </c>
      <c r="E8" s="8">
        <v>1.9199999999999998E-2</v>
      </c>
      <c r="F8" s="4"/>
      <c r="G8" s="6">
        <v>0.01</v>
      </c>
      <c r="H8" s="9">
        <v>1492.08</v>
      </c>
      <c r="I8" s="9">
        <v>0</v>
      </c>
      <c r="J8" s="8">
        <v>1.9199999999999998E-2</v>
      </c>
    </row>
    <row r="9" spans="1:10" x14ac:dyDescent="0.25">
      <c r="B9" s="5">
        <v>764.05</v>
      </c>
      <c r="C9" s="9">
        <v>6332.05</v>
      </c>
      <c r="D9" s="6">
        <v>14.32</v>
      </c>
      <c r="E9" s="8">
        <v>6.4000000000000001E-2</v>
      </c>
      <c r="F9" s="4"/>
      <c r="G9" s="9">
        <v>1492.09</v>
      </c>
      <c r="H9" s="9">
        <v>12664.1</v>
      </c>
      <c r="I9" s="9">
        <v>28.64</v>
      </c>
      <c r="J9" s="8">
        <v>6.4000000000000001E-2</v>
      </c>
    </row>
    <row r="10" spans="1:10" x14ac:dyDescent="0.25">
      <c r="B10" s="5">
        <v>6332.06</v>
      </c>
      <c r="C10" s="9">
        <v>11128.01</v>
      </c>
      <c r="D10" s="6">
        <v>371.83</v>
      </c>
      <c r="E10" s="8">
        <v>0.10880000000000001</v>
      </c>
      <c r="F10" s="4"/>
      <c r="G10" s="9">
        <v>12664.11</v>
      </c>
      <c r="H10" s="9">
        <v>22256.02</v>
      </c>
      <c r="I10" s="9">
        <v>743.66</v>
      </c>
      <c r="J10" s="8">
        <v>0.10880000000000001</v>
      </c>
    </row>
    <row r="11" spans="1:10" x14ac:dyDescent="0.25">
      <c r="B11" s="5">
        <v>11128.02</v>
      </c>
      <c r="C11" s="9">
        <v>12935.82</v>
      </c>
      <c r="D11" s="6">
        <v>893.63</v>
      </c>
      <c r="E11" s="8">
        <v>0.16</v>
      </c>
      <c r="F11" s="4"/>
      <c r="G11" s="9">
        <v>22256.03</v>
      </c>
      <c r="H11" s="9">
        <v>25871.64</v>
      </c>
      <c r="I11" s="9">
        <v>1787.26</v>
      </c>
      <c r="J11" s="8">
        <v>0.16</v>
      </c>
    </row>
    <row r="12" spans="1:10" x14ac:dyDescent="0.25">
      <c r="B12" s="5">
        <v>12935.83</v>
      </c>
      <c r="C12" s="9">
        <v>15487.71</v>
      </c>
      <c r="D12" s="6">
        <v>1182.8800000000001</v>
      </c>
      <c r="E12" s="8">
        <v>0.17920000000000003</v>
      </c>
      <c r="F12" s="4"/>
      <c r="G12" s="9">
        <v>25871.649999999998</v>
      </c>
      <c r="H12" s="9">
        <v>30975.42</v>
      </c>
      <c r="I12" s="9">
        <v>2365.7600000000002</v>
      </c>
      <c r="J12" s="8">
        <v>0.17920000000000003</v>
      </c>
    </row>
    <row r="13" spans="1:10" x14ac:dyDescent="0.25">
      <c r="B13" s="5">
        <v>15487.72</v>
      </c>
      <c r="C13" s="9">
        <v>31236.49</v>
      </c>
      <c r="D13" s="9">
        <v>1640.18</v>
      </c>
      <c r="E13" s="8">
        <v>0.21359999999999998</v>
      </c>
      <c r="F13" s="4"/>
      <c r="G13" s="9">
        <v>30975.429999999997</v>
      </c>
      <c r="H13" s="9">
        <v>62472.98</v>
      </c>
      <c r="I13" s="9">
        <v>3280.36</v>
      </c>
      <c r="J13" s="8">
        <v>0.21359999999999998</v>
      </c>
    </row>
    <row r="14" spans="1:10" x14ac:dyDescent="0.25">
      <c r="B14" s="5">
        <v>31236.5</v>
      </c>
      <c r="C14" s="9">
        <v>49233</v>
      </c>
      <c r="D14" s="9">
        <v>5004.12</v>
      </c>
      <c r="E14" s="8">
        <v>0.23519999999999999</v>
      </c>
      <c r="F14" s="4"/>
      <c r="G14" s="9">
        <v>62472.990000000005</v>
      </c>
      <c r="H14" s="9">
        <v>98466</v>
      </c>
      <c r="I14" s="9">
        <v>10008.24</v>
      </c>
      <c r="J14" s="8">
        <v>0.23519999999999999</v>
      </c>
    </row>
    <row r="15" spans="1:10" x14ac:dyDescent="0.25">
      <c r="B15" s="5">
        <v>49233.01</v>
      </c>
      <c r="C15" s="9">
        <v>93993.9</v>
      </c>
      <c r="D15" s="9">
        <v>9236.89</v>
      </c>
      <c r="E15" s="8">
        <v>0.3</v>
      </c>
      <c r="F15" s="4"/>
      <c r="G15" s="9">
        <v>98466.01</v>
      </c>
      <c r="H15" s="9">
        <v>187987.8</v>
      </c>
      <c r="I15" s="9">
        <v>18473.78</v>
      </c>
      <c r="J15" s="8">
        <v>0.3</v>
      </c>
    </row>
    <row r="16" spans="1:10" x14ac:dyDescent="0.25">
      <c r="B16" s="5">
        <v>93993.909999999989</v>
      </c>
      <c r="C16" s="9">
        <v>125325.2</v>
      </c>
      <c r="D16" s="9">
        <v>22665.17</v>
      </c>
      <c r="E16" s="8">
        <v>0.32</v>
      </c>
      <c r="F16" s="4"/>
      <c r="G16" s="9">
        <v>187987.81</v>
      </c>
      <c r="H16" s="9">
        <v>250650.4</v>
      </c>
      <c r="I16" s="9">
        <v>45330.34</v>
      </c>
      <c r="J16" s="8">
        <v>0.32</v>
      </c>
    </row>
    <row r="17" spans="2:10" x14ac:dyDescent="0.25">
      <c r="B17" s="5">
        <v>125325.20999999999</v>
      </c>
      <c r="C17" s="9">
        <v>375975.61</v>
      </c>
      <c r="D17" s="9">
        <v>32691.18</v>
      </c>
      <c r="E17" s="8">
        <v>0.34</v>
      </c>
      <c r="F17" s="4"/>
      <c r="G17" s="9">
        <v>250650.41</v>
      </c>
      <c r="H17" s="9">
        <v>751951.22</v>
      </c>
      <c r="I17" s="9">
        <v>65382.36</v>
      </c>
      <c r="J17" s="8">
        <v>0.34</v>
      </c>
    </row>
    <row r="18" spans="2:10" x14ac:dyDescent="0.25">
      <c r="B18" s="5">
        <v>375975.62</v>
      </c>
      <c r="C18" s="6" t="s">
        <v>8</v>
      </c>
      <c r="D18" s="9">
        <v>117912.32000000001</v>
      </c>
      <c r="E18" s="8">
        <v>0.35</v>
      </c>
      <c r="F18" s="4"/>
      <c r="G18" s="9">
        <v>751951.23</v>
      </c>
      <c r="H18" s="6" t="s">
        <v>8</v>
      </c>
      <c r="I18" s="9">
        <v>235824.64000000001</v>
      </c>
      <c r="J18" s="8">
        <v>0.35</v>
      </c>
    </row>
    <row r="19" spans="2:10" x14ac:dyDescent="0.25">
      <c r="F19" s="4"/>
    </row>
    <row r="20" spans="2:10" x14ac:dyDescent="0.25">
      <c r="F20" s="4"/>
    </row>
    <row r="21" spans="2:10" x14ac:dyDescent="0.25">
      <c r="F21" s="4"/>
    </row>
    <row r="22" spans="2:10" x14ac:dyDescent="0.25">
      <c r="F22" s="4"/>
    </row>
    <row r="23" spans="2:10" x14ac:dyDescent="0.25">
      <c r="F23" s="4"/>
    </row>
    <row r="24" spans="2:10" ht="17.25" x14ac:dyDescent="0.25">
      <c r="B24" s="2" t="s">
        <v>9</v>
      </c>
      <c r="C24" s="2"/>
      <c r="D24" s="2"/>
      <c r="E24" s="2"/>
      <c r="F24" s="4"/>
      <c r="G24" s="2" t="s">
        <v>10</v>
      </c>
      <c r="H24" s="2"/>
      <c r="I24" s="2"/>
      <c r="J24" s="2"/>
    </row>
    <row r="25" spans="2:10" ht="105" x14ac:dyDescent="0.25">
      <c r="B25" s="3" t="s">
        <v>4</v>
      </c>
      <c r="C25" s="3" t="s">
        <v>5</v>
      </c>
      <c r="D25" s="3" t="s">
        <v>6</v>
      </c>
      <c r="E25" s="3" t="s">
        <v>7</v>
      </c>
      <c r="F25" s="4"/>
      <c r="G25" s="3" t="s">
        <v>4</v>
      </c>
      <c r="H25" s="3" t="s">
        <v>5</v>
      </c>
      <c r="I25" s="3" t="s">
        <v>6</v>
      </c>
      <c r="J25" s="3" t="s">
        <v>7</v>
      </c>
    </row>
    <row r="26" spans="2:10" x14ac:dyDescent="0.25">
      <c r="B26" s="6">
        <v>0.01</v>
      </c>
      <c r="C26" s="9">
        <v>2238.12</v>
      </c>
      <c r="D26" s="7">
        <v>0</v>
      </c>
      <c r="E26" s="8">
        <v>1.9199999999999998E-2</v>
      </c>
      <c r="F26" s="4"/>
      <c r="G26" s="6">
        <v>0.01</v>
      </c>
      <c r="H26" s="9">
        <v>2984.16</v>
      </c>
      <c r="I26" s="7">
        <v>0</v>
      </c>
      <c r="J26" s="8">
        <v>1.9199999999999998E-2</v>
      </c>
    </row>
    <row r="27" spans="2:10" x14ac:dyDescent="0.25">
      <c r="B27" s="9">
        <v>2238.13</v>
      </c>
      <c r="C27" s="9">
        <v>18996.150000000001</v>
      </c>
      <c r="D27" s="9">
        <v>42.96</v>
      </c>
      <c r="E27" s="8">
        <v>6.4000000000000001E-2</v>
      </c>
      <c r="F27" s="4"/>
      <c r="G27" s="9">
        <v>2984.17</v>
      </c>
      <c r="H27" s="9">
        <v>25328.2</v>
      </c>
      <c r="I27" s="9">
        <v>57.28</v>
      </c>
      <c r="J27" s="8">
        <v>6.4000000000000001E-2</v>
      </c>
    </row>
    <row r="28" spans="2:10" x14ac:dyDescent="0.25">
      <c r="B28" s="9">
        <v>18996.16</v>
      </c>
      <c r="C28" s="9">
        <v>33384.03</v>
      </c>
      <c r="D28" s="9">
        <v>1115.49</v>
      </c>
      <c r="E28" s="8">
        <v>0.10880000000000001</v>
      </c>
      <c r="F28" s="4"/>
      <c r="G28" s="9">
        <v>25328.21</v>
      </c>
      <c r="H28" s="9">
        <v>44512.04</v>
      </c>
      <c r="I28" s="9">
        <v>1487.32</v>
      </c>
      <c r="J28" s="8">
        <v>0.10880000000000001</v>
      </c>
    </row>
    <row r="29" spans="2:10" x14ac:dyDescent="0.25">
      <c r="B29" s="9">
        <v>33384.04</v>
      </c>
      <c r="C29" s="9">
        <v>38807.46</v>
      </c>
      <c r="D29" s="9">
        <v>2680.89</v>
      </c>
      <c r="E29" s="8">
        <v>0.16</v>
      </c>
      <c r="F29" s="4"/>
      <c r="G29" s="9">
        <v>44512.05</v>
      </c>
      <c r="H29" s="9">
        <v>51743.28</v>
      </c>
      <c r="I29" s="9">
        <v>3574.52</v>
      </c>
      <c r="J29" s="8">
        <v>0.16</v>
      </c>
    </row>
    <row r="30" spans="2:10" x14ac:dyDescent="0.25">
      <c r="B30" s="9">
        <v>38807.47</v>
      </c>
      <c r="C30" s="9">
        <v>46463.13</v>
      </c>
      <c r="D30" s="9">
        <v>3548.6400000000003</v>
      </c>
      <c r="E30" s="8">
        <v>0.17920000000000003</v>
      </c>
      <c r="F30" s="4"/>
      <c r="G30" s="9">
        <v>51743.29</v>
      </c>
      <c r="H30" s="9">
        <v>61950.84</v>
      </c>
      <c r="I30" s="9">
        <v>4731.5200000000004</v>
      </c>
      <c r="J30" s="8">
        <v>0.17920000000000003</v>
      </c>
    </row>
    <row r="31" spans="2:10" x14ac:dyDescent="0.25">
      <c r="B31" s="9">
        <v>46463.14</v>
      </c>
      <c r="C31" s="9">
        <v>93709.47</v>
      </c>
      <c r="D31" s="9">
        <v>4920.54</v>
      </c>
      <c r="E31" s="8">
        <v>0.21359999999999998</v>
      </c>
      <c r="F31" s="4"/>
      <c r="G31" s="9">
        <v>61950.85</v>
      </c>
      <c r="H31" s="9">
        <v>124945.96</v>
      </c>
      <c r="I31" s="9">
        <v>6560.72</v>
      </c>
      <c r="J31" s="8">
        <v>0.21359999999999998</v>
      </c>
    </row>
    <row r="32" spans="2:10" x14ac:dyDescent="0.25">
      <c r="B32" s="9">
        <v>93709.48</v>
      </c>
      <c r="C32" s="9">
        <v>147699</v>
      </c>
      <c r="D32" s="9">
        <v>15012.36</v>
      </c>
      <c r="E32" s="8">
        <v>0.23519999999999999</v>
      </c>
      <c r="F32" s="4"/>
      <c r="G32" s="9">
        <v>124945.97</v>
      </c>
      <c r="H32" s="9">
        <v>196932</v>
      </c>
      <c r="I32" s="9">
        <v>20016.48</v>
      </c>
      <c r="J32" s="8">
        <v>0.23519999999999999</v>
      </c>
    </row>
    <row r="33" spans="2:10" x14ac:dyDescent="0.25">
      <c r="B33" s="9">
        <v>147699.01</v>
      </c>
      <c r="C33" s="9">
        <v>281981.69999999995</v>
      </c>
      <c r="D33" s="9">
        <v>27710.67</v>
      </c>
      <c r="E33" s="8">
        <v>0.3</v>
      </c>
      <c r="F33" s="4"/>
      <c r="G33" s="9">
        <v>196932.01</v>
      </c>
      <c r="H33" s="9">
        <v>375975.6</v>
      </c>
      <c r="I33" s="9">
        <v>36947.56</v>
      </c>
      <c r="J33" s="8">
        <v>0.3</v>
      </c>
    </row>
    <row r="34" spans="2:10" x14ac:dyDescent="0.25">
      <c r="B34" s="9">
        <v>281981.70999999996</v>
      </c>
      <c r="C34" s="9">
        <v>375975.6</v>
      </c>
      <c r="D34" s="9">
        <v>67995.509999999995</v>
      </c>
      <c r="E34" s="8">
        <v>0.32</v>
      </c>
      <c r="F34" s="4"/>
      <c r="G34" s="9">
        <v>375975.61</v>
      </c>
      <c r="H34" s="9">
        <v>501300.8</v>
      </c>
      <c r="I34" s="9">
        <v>90660.68</v>
      </c>
      <c r="J34" s="8">
        <v>0.32</v>
      </c>
    </row>
    <row r="35" spans="2:10" x14ac:dyDescent="0.25">
      <c r="B35" s="9">
        <v>375975.61</v>
      </c>
      <c r="C35" s="9">
        <v>1127926.83</v>
      </c>
      <c r="D35" s="9">
        <v>98073.540000000008</v>
      </c>
      <c r="E35" s="8">
        <v>0.34</v>
      </c>
      <c r="F35" s="4"/>
      <c r="G35" s="9">
        <v>501300.81</v>
      </c>
      <c r="H35" s="9">
        <v>1503902.44</v>
      </c>
      <c r="I35" s="9">
        <v>130764.72</v>
      </c>
      <c r="J35" s="8">
        <v>0.34</v>
      </c>
    </row>
    <row r="36" spans="2:10" x14ac:dyDescent="0.25">
      <c r="B36" s="9">
        <v>1127926.8400000001</v>
      </c>
      <c r="C36" s="6" t="s">
        <v>8</v>
      </c>
      <c r="D36" s="9">
        <v>353736.96000000002</v>
      </c>
      <c r="E36" s="8">
        <v>0.35</v>
      </c>
      <c r="F36" s="4"/>
      <c r="G36" s="9">
        <v>1503902.45</v>
      </c>
      <c r="H36" s="6" t="s">
        <v>8</v>
      </c>
      <c r="I36" s="9">
        <v>471649.28000000003</v>
      </c>
      <c r="J36" s="8">
        <v>0.35</v>
      </c>
    </row>
    <row r="37" spans="2:10" x14ac:dyDescent="0.25">
      <c r="F37" s="4"/>
    </row>
    <row r="38" spans="2:10" x14ac:dyDescent="0.25">
      <c r="F38" s="4"/>
    </row>
    <row r="39" spans="2:10" x14ac:dyDescent="0.25">
      <c r="F39" s="4"/>
    </row>
    <row r="40" spans="2:10" x14ac:dyDescent="0.25">
      <c r="F40" s="4"/>
    </row>
    <row r="41" spans="2:10" x14ac:dyDescent="0.25">
      <c r="F41" s="4"/>
    </row>
    <row r="42" spans="2:10" ht="17.25" x14ac:dyDescent="0.25">
      <c r="B42" s="2" t="s">
        <v>11</v>
      </c>
      <c r="C42" s="2"/>
      <c r="D42" s="2"/>
      <c r="E42" s="2"/>
      <c r="F42" s="4"/>
      <c r="G42" s="2" t="s">
        <v>12</v>
      </c>
      <c r="H42" s="2"/>
      <c r="I42" s="2"/>
      <c r="J42" s="2"/>
    </row>
    <row r="43" spans="2:10" ht="105" x14ac:dyDescent="0.25">
      <c r="B43" s="3" t="s">
        <v>4</v>
      </c>
      <c r="C43" s="3" t="s">
        <v>5</v>
      </c>
      <c r="D43" s="3" t="s">
        <v>6</v>
      </c>
      <c r="E43" s="3" t="s">
        <v>7</v>
      </c>
      <c r="F43" s="4"/>
      <c r="G43" s="3" t="s">
        <v>4</v>
      </c>
      <c r="H43" s="3" t="s">
        <v>5</v>
      </c>
      <c r="I43" s="3" t="s">
        <v>6</v>
      </c>
      <c r="J43" s="3" t="s">
        <v>7</v>
      </c>
    </row>
    <row r="44" spans="2:10" x14ac:dyDescent="0.25">
      <c r="B44" s="9">
        <v>0.01</v>
      </c>
      <c r="C44" s="9">
        <v>3730.2</v>
      </c>
      <c r="D44" s="9">
        <v>0</v>
      </c>
      <c r="E44" s="8">
        <v>1.9199999999999998E-2</v>
      </c>
      <c r="F44" s="4"/>
      <c r="G44" s="6">
        <v>0.01</v>
      </c>
      <c r="H44" s="9">
        <v>4476.24</v>
      </c>
      <c r="I44" s="7">
        <v>0</v>
      </c>
      <c r="J44" s="8">
        <v>1.9199999999999998E-2</v>
      </c>
    </row>
    <row r="45" spans="2:10" x14ac:dyDescent="0.25">
      <c r="B45" s="9">
        <v>3730.21</v>
      </c>
      <c r="C45" s="9">
        <v>31660.25</v>
      </c>
      <c r="D45" s="9">
        <v>71.599999999999994</v>
      </c>
      <c r="E45" s="8">
        <v>6.4000000000000001E-2</v>
      </c>
      <c r="F45" s="4"/>
      <c r="G45" s="9">
        <v>4476.25</v>
      </c>
      <c r="H45" s="9">
        <v>37992.300000000003</v>
      </c>
      <c r="I45" s="9">
        <v>85.92</v>
      </c>
      <c r="J45" s="8">
        <v>6.4000000000000001E-2</v>
      </c>
    </row>
    <row r="46" spans="2:10" x14ac:dyDescent="0.25">
      <c r="B46" s="9">
        <v>31660.26</v>
      </c>
      <c r="C46" s="9">
        <v>55640.05</v>
      </c>
      <c r="D46" s="9">
        <v>1859.1499999999999</v>
      </c>
      <c r="E46" s="8">
        <v>0.10880000000000001</v>
      </c>
      <c r="F46" s="4"/>
      <c r="G46" s="9">
        <v>37992.310000000005</v>
      </c>
      <c r="H46" s="9">
        <v>66768.06</v>
      </c>
      <c r="I46" s="9">
        <v>2230.98</v>
      </c>
      <c r="J46" s="8">
        <v>0.10880000000000001</v>
      </c>
    </row>
    <row r="47" spans="2:10" x14ac:dyDescent="0.25">
      <c r="B47" s="9">
        <v>55640.060000000005</v>
      </c>
      <c r="C47" s="9">
        <v>64679.1</v>
      </c>
      <c r="D47" s="9">
        <v>4468.1499999999996</v>
      </c>
      <c r="E47" s="8">
        <v>0.16</v>
      </c>
      <c r="F47" s="4"/>
      <c r="G47" s="9">
        <v>66768.069999999992</v>
      </c>
      <c r="H47" s="9">
        <v>77614.92</v>
      </c>
      <c r="I47" s="9">
        <v>5361.78</v>
      </c>
      <c r="J47" s="8">
        <v>0.16</v>
      </c>
    </row>
    <row r="48" spans="2:10" x14ac:dyDescent="0.25">
      <c r="B48" s="9">
        <v>64679.11</v>
      </c>
      <c r="C48" s="9">
        <v>77438.549999999988</v>
      </c>
      <c r="D48" s="9">
        <v>5914.4000000000005</v>
      </c>
      <c r="E48" s="8">
        <v>0.17920000000000003</v>
      </c>
      <c r="F48" s="4"/>
      <c r="G48" s="9">
        <v>77614.929999999993</v>
      </c>
      <c r="H48" s="9">
        <v>92926.26</v>
      </c>
      <c r="I48" s="9">
        <v>7097.2800000000007</v>
      </c>
      <c r="J48" s="8">
        <v>0.17920000000000003</v>
      </c>
    </row>
    <row r="49" spans="2:10" x14ac:dyDescent="0.25">
      <c r="B49" s="9">
        <v>77438.559999999983</v>
      </c>
      <c r="C49" s="9">
        <v>156182.45000000001</v>
      </c>
      <c r="D49" s="9">
        <v>8200.9</v>
      </c>
      <c r="E49" s="8">
        <v>0.21359999999999998</v>
      </c>
      <c r="F49" s="4"/>
      <c r="G49" s="9">
        <v>92926.26999999999</v>
      </c>
      <c r="H49" s="9">
        <v>187418.94</v>
      </c>
      <c r="I49" s="9">
        <v>9841.08</v>
      </c>
      <c r="J49" s="8">
        <v>0.21359999999999998</v>
      </c>
    </row>
    <row r="50" spans="2:10" x14ac:dyDescent="0.25">
      <c r="B50" s="9">
        <v>156182.46000000002</v>
      </c>
      <c r="C50" s="9">
        <v>246165</v>
      </c>
      <c r="D50" s="9">
        <v>25020.6</v>
      </c>
      <c r="E50" s="8">
        <v>0.23519999999999999</v>
      </c>
      <c r="F50" s="4"/>
      <c r="G50" s="9">
        <v>187418.95</v>
      </c>
      <c r="H50" s="9">
        <v>295398</v>
      </c>
      <c r="I50" s="9">
        <v>30024.720000000001</v>
      </c>
      <c r="J50" s="8">
        <v>0.23519999999999999</v>
      </c>
    </row>
    <row r="51" spans="2:10" x14ac:dyDescent="0.25">
      <c r="B51" s="9">
        <v>246165.01</v>
      </c>
      <c r="C51" s="9">
        <v>469969.5</v>
      </c>
      <c r="D51" s="9">
        <v>46184.45</v>
      </c>
      <c r="E51" s="8">
        <v>0.3</v>
      </c>
      <c r="F51" s="4"/>
      <c r="G51" s="9">
        <v>295398.01</v>
      </c>
      <c r="H51" s="9">
        <v>563963.39999999991</v>
      </c>
      <c r="I51" s="9">
        <v>55421.34</v>
      </c>
      <c r="J51" s="8">
        <v>0.3</v>
      </c>
    </row>
    <row r="52" spans="2:10" x14ac:dyDescent="0.25">
      <c r="B52" s="9">
        <v>469969.51</v>
      </c>
      <c r="C52" s="9">
        <v>626626</v>
      </c>
      <c r="D52" s="9">
        <v>113325.84999999999</v>
      </c>
      <c r="E52" s="8">
        <v>0.32</v>
      </c>
      <c r="F52" s="4"/>
      <c r="G52" s="9">
        <v>563963.40999999992</v>
      </c>
      <c r="H52" s="9">
        <v>751951.2</v>
      </c>
      <c r="I52" s="9">
        <v>135991.01999999999</v>
      </c>
      <c r="J52" s="8">
        <v>0.32</v>
      </c>
    </row>
    <row r="53" spans="2:10" x14ac:dyDescent="0.25">
      <c r="B53" s="9">
        <v>626626.01</v>
      </c>
      <c r="C53" s="9">
        <v>1879878.0499999998</v>
      </c>
      <c r="D53" s="9">
        <v>163455.9</v>
      </c>
      <c r="E53" s="8">
        <v>0.34</v>
      </c>
      <c r="F53" s="4"/>
      <c r="G53" s="9">
        <v>751951.21</v>
      </c>
      <c r="H53" s="9">
        <v>2255853.66</v>
      </c>
      <c r="I53" s="9">
        <v>196147.08000000002</v>
      </c>
      <c r="J53" s="8">
        <v>0.34</v>
      </c>
    </row>
    <row r="54" spans="2:10" x14ac:dyDescent="0.25">
      <c r="B54" s="9">
        <v>1879878.0599999998</v>
      </c>
      <c r="C54" s="9" t="s">
        <v>8</v>
      </c>
      <c r="D54" s="9">
        <v>589561.60000000009</v>
      </c>
      <c r="E54" s="8">
        <v>0.35</v>
      </c>
      <c r="F54" s="4"/>
      <c r="G54" s="9">
        <v>2255853.67</v>
      </c>
      <c r="H54" s="9" t="s">
        <v>8</v>
      </c>
      <c r="I54" s="9">
        <v>707473.92000000004</v>
      </c>
      <c r="J54" s="8">
        <v>0.35</v>
      </c>
    </row>
    <row r="55" spans="2:10" x14ac:dyDescent="0.25">
      <c r="F55" s="4"/>
    </row>
    <row r="56" spans="2:10" ht="17.25" x14ac:dyDescent="0.25">
      <c r="B56" s="2" t="s">
        <v>13</v>
      </c>
      <c r="C56" s="2"/>
      <c r="D56" s="2"/>
      <c r="E56" s="2"/>
      <c r="F56" s="4"/>
      <c r="G56" s="2" t="s">
        <v>14</v>
      </c>
      <c r="H56" s="2"/>
      <c r="I56" s="2"/>
      <c r="J56" s="2"/>
    </row>
    <row r="57" spans="2:10" ht="105" x14ac:dyDescent="0.25">
      <c r="B57" s="3" t="s">
        <v>4</v>
      </c>
      <c r="C57" s="3" t="s">
        <v>5</v>
      </c>
      <c r="D57" s="3" t="s">
        <v>6</v>
      </c>
      <c r="E57" s="3" t="s">
        <v>7</v>
      </c>
      <c r="F57" s="4"/>
      <c r="G57" s="3" t="s">
        <v>4</v>
      </c>
      <c r="H57" s="3" t="s">
        <v>5</v>
      </c>
      <c r="I57" s="3" t="s">
        <v>6</v>
      </c>
      <c r="J57" s="3" t="s">
        <v>7</v>
      </c>
    </row>
    <row r="58" spans="2:10" x14ac:dyDescent="0.25">
      <c r="B58" s="6">
        <v>0.01</v>
      </c>
      <c r="C58" s="9">
        <v>5222.28</v>
      </c>
      <c r="D58" s="5">
        <v>0</v>
      </c>
      <c r="E58" s="8">
        <v>1.9199999999999998E-2</v>
      </c>
      <c r="F58" s="4"/>
      <c r="G58" s="6">
        <v>0.01</v>
      </c>
      <c r="H58" s="9">
        <v>5968.32</v>
      </c>
      <c r="I58" s="7">
        <v>0</v>
      </c>
      <c r="J58" s="8">
        <v>1.9199999999999998E-2</v>
      </c>
    </row>
    <row r="59" spans="2:10" x14ac:dyDescent="0.25">
      <c r="B59" s="9">
        <v>5222.29</v>
      </c>
      <c r="C59" s="9">
        <v>44324.35</v>
      </c>
      <c r="D59" s="5">
        <v>100.24000000000001</v>
      </c>
      <c r="E59" s="8">
        <v>6.4000000000000001E-2</v>
      </c>
      <c r="F59" s="4"/>
      <c r="G59" s="9">
        <v>5968.33</v>
      </c>
      <c r="H59" s="9">
        <v>50656.4</v>
      </c>
      <c r="I59" s="9">
        <v>114.56</v>
      </c>
      <c r="J59" s="8">
        <v>6.4000000000000001E-2</v>
      </c>
    </row>
    <row r="60" spans="2:10" x14ac:dyDescent="0.25">
      <c r="B60" s="9">
        <v>44324.36</v>
      </c>
      <c r="C60" s="9">
        <v>77896.070000000007</v>
      </c>
      <c r="D60" s="5">
        <v>2602.81</v>
      </c>
      <c r="E60" s="8">
        <v>0.10880000000000001</v>
      </c>
      <c r="F60" s="4"/>
      <c r="G60" s="9">
        <v>50656.41</v>
      </c>
      <c r="H60" s="9">
        <v>89024.08</v>
      </c>
      <c r="I60" s="9">
        <v>2974.64</v>
      </c>
      <c r="J60" s="8">
        <v>0.10880000000000001</v>
      </c>
    </row>
    <row r="61" spans="2:10" x14ac:dyDescent="0.25">
      <c r="B61" s="9">
        <v>77896.08</v>
      </c>
      <c r="C61" s="9">
        <v>90550.739999999991</v>
      </c>
      <c r="D61" s="5">
        <v>6255.41</v>
      </c>
      <c r="E61" s="8">
        <v>0.16</v>
      </c>
      <c r="F61" s="4"/>
      <c r="G61" s="9">
        <v>89024.09</v>
      </c>
      <c r="H61" s="9">
        <v>103486.56</v>
      </c>
      <c r="I61" s="9">
        <v>7149.04</v>
      </c>
      <c r="J61" s="8">
        <v>0.16</v>
      </c>
    </row>
    <row r="62" spans="2:10" x14ac:dyDescent="0.25">
      <c r="B62" s="9">
        <v>90550.749999999985</v>
      </c>
      <c r="C62" s="9">
        <v>108413.97</v>
      </c>
      <c r="D62" s="5">
        <v>8280.16</v>
      </c>
      <c r="E62" s="8">
        <v>0.17920000000000003</v>
      </c>
      <c r="F62" s="4"/>
      <c r="G62" s="9">
        <v>103486.56999999999</v>
      </c>
      <c r="H62" s="9">
        <v>123901.68</v>
      </c>
      <c r="I62" s="9">
        <v>9463.0400000000009</v>
      </c>
      <c r="J62" s="8">
        <v>0.17920000000000003</v>
      </c>
    </row>
    <row r="63" spans="2:10" x14ac:dyDescent="0.25">
      <c r="B63" s="9">
        <v>108413.98</v>
      </c>
      <c r="C63" s="9">
        <v>218655.43000000002</v>
      </c>
      <c r="D63" s="5">
        <v>11481.26</v>
      </c>
      <c r="E63" s="8">
        <v>0.21359999999999998</v>
      </c>
      <c r="F63" s="4"/>
      <c r="G63" s="9">
        <v>123901.68999999999</v>
      </c>
      <c r="H63" s="9">
        <v>249891.92</v>
      </c>
      <c r="I63" s="9">
        <v>13121.44</v>
      </c>
      <c r="J63" s="8">
        <v>0.21359999999999998</v>
      </c>
    </row>
    <row r="64" spans="2:10" x14ac:dyDescent="0.25">
      <c r="B64" s="9">
        <v>218655.44000000003</v>
      </c>
      <c r="C64" s="9">
        <v>344631</v>
      </c>
      <c r="D64" s="5">
        <v>35028.839999999997</v>
      </c>
      <c r="E64" s="8">
        <v>0.23519999999999999</v>
      </c>
      <c r="F64" s="4"/>
      <c r="G64" s="9">
        <v>249891.93000000002</v>
      </c>
      <c r="H64" s="9">
        <v>393864</v>
      </c>
      <c r="I64" s="9">
        <v>40032.959999999999</v>
      </c>
      <c r="J64" s="8">
        <v>0.23519999999999999</v>
      </c>
    </row>
    <row r="65" spans="2:10" x14ac:dyDescent="0.25">
      <c r="B65" s="9">
        <v>344631.01</v>
      </c>
      <c r="C65" s="9">
        <v>657957.29999999993</v>
      </c>
      <c r="D65" s="5">
        <v>64658.229999999996</v>
      </c>
      <c r="E65" s="8">
        <v>0.3</v>
      </c>
      <c r="F65" s="4"/>
      <c r="G65" s="9">
        <v>393864.01</v>
      </c>
      <c r="H65" s="9">
        <v>751951.2</v>
      </c>
      <c r="I65" s="9">
        <v>73895.12</v>
      </c>
      <c r="J65" s="8">
        <v>0.3</v>
      </c>
    </row>
    <row r="66" spans="2:10" x14ac:dyDescent="0.25">
      <c r="B66" s="9">
        <v>657957.30999999994</v>
      </c>
      <c r="C66" s="9">
        <v>877276.4</v>
      </c>
      <c r="D66" s="5">
        <v>158656.19</v>
      </c>
      <c r="E66" s="8">
        <v>0.32</v>
      </c>
      <c r="F66" s="4"/>
      <c r="G66" s="9">
        <v>751951.21</v>
      </c>
      <c r="H66" s="9">
        <v>1002601.6</v>
      </c>
      <c r="I66" s="9">
        <v>181321.36</v>
      </c>
      <c r="J66" s="8">
        <v>0.32</v>
      </c>
    </row>
    <row r="67" spans="2:10" x14ac:dyDescent="0.25">
      <c r="B67" s="9">
        <v>877276.41</v>
      </c>
      <c r="C67" s="9">
        <v>2631829.27</v>
      </c>
      <c r="D67" s="5">
        <v>228838.26</v>
      </c>
      <c r="E67" s="8">
        <v>0.34</v>
      </c>
      <c r="F67" s="4"/>
      <c r="G67" s="9">
        <v>1002601.61</v>
      </c>
      <c r="H67" s="9">
        <v>3007804.88</v>
      </c>
      <c r="I67" s="9">
        <v>261529.44</v>
      </c>
      <c r="J67" s="8">
        <v>0.34</v>
      </c>
    </row>
    <row r="68" spans="2:10" x14ac:dyDescent="0.25">
      <c r="B68" s="9">
        <v>2631829.2799999998</v>
      </c>
      <c r="C68" s="6" t="s">
        <v>8</v>
      </c>
      <c r="D68" s="5">
        <v>825386.24</v>
      </c>
      <c r="E68" s="8">
        <v>0.35</v>
      </c>
      <c r="F68" s="4"/>
      <c r="G68" s="9">
        <v>3007804.8899999997</v>
      </c>
      <c r="H68" s="6" t="s">
        <v>8</v>
      </c>
      <c r="I68" s="9">
        <v>943298.56000000006</v>
      </c>
      <c r="J68" s="8">
        <v>0.35</v>
      </c>
    </row>
    <row r="69" spans="2:10" x14ac:dyDescent="0.25">
      <c r="B69" s="9"/>
      <c r="C69" s="6"/>
      <c r="D69" s="9"/>
      <c r="E69" s="8"/>
      <c r="F69" s="4"/>
      <c r="G69" s="9"/>
      <c r="H69" s="6"/>
      <c r="I69" s="9"/>
      <c r="J69" s="8"/>
    </row>
    <row r="70" spans="2:10" x14ac:dyDescent="0.25">
      <c r="B70" s="9"/>
      <c r="C70" s="6"/>
      <c r="D70" s="9"/>
      <c r="E70" s="8"/>
      <c r="F70" s="4"/>
      <c r="G70" s="9"/>
      <c r="H70" s="6"/>
      <c r="I70" s="9"/>
      <c r="J70" s="8"/>
    </row>
    <row r="71" spans="2:10" x14ac:dyDescent="0.25">
      <c r="B71" s="9"/>
      <c r="C71" s="6"/>
      <c r="D71" s="9"/>
      <c r="E71" s="8"/>
      <c r="F71" s="4"/>
      <c r="G71" s="9"/>
      <c r="H71" s="6"/>
      <c r="I71" s="9"/>
      <c r="J71" s="8"/>
    </row>
    <row r="72" spans="2:10" x14ac:dyDescent="0.25">
      <c r="B72" s="9"/>
      <c r="C72" s="6"/>
      <c r="D72" s="9"/>
      <c r="E72" s="8"/>
      <c r="F72" s="4"/>
      <c r="G72" s="9"/>
      <c r="H72" s="6"/>
      <c r="I72" s="9"/>
      <c r="J72" s="8"/>
    </row>
    <row r="73" spans="2:10" x14ac:dyDescent="0.25">
      <c r="B73" s="9"/>
      <c r="C73" s="6"/>
      <c r="D73" s="9"/>
      <c r="E73" s="8"/>
      <c r="F73" s="4"/>
      <c r="G73" s="9"/>
      <c r="H73" s="6"/>
      <c r="I73" s="9"/>
      <c r="J73" s="8"/>
    </row>
    <row r="74" spans="2:10" ht="17.25" x14ac:dyDescent="0.25">
      <c r="B74" s="2" t="s">
        <v>15</v>
      </c>
      <c r="C74" s="2"/>
      <c r="D74" s="2"/>
      <c r="E74" s="2"/>
      <c r="F74" s="4"/>
      <c r="G74" s="2" t="s">
        <v>16</v>
      </c>
      <c r="H74" s="2"/>
      <c r="I74" s="2"/>
      <c r="J74" s="2"/>
    </row>
    <row r="75" spans="2:10" ht="105" x14ac:dyDescent="0.25">
      <c r="B75" s="3" t="s">
        <v>4</v>
      </c>
      <c r="C75" s="3" t="s">
        <v>5</v>
      </c>
      <c r="D75" s="3" t="s">
        <v>6</v>
      </c>
      <c r="E75" s="3" t="s">
        <v>7</v>
      </c>
      <c r="F75" s="4"/>
      <c r="G75" s="3" t="s">
        <v>4</v>
      </c>
      <c r="H75" s="3" t="s">
        <v>5</v>
      </c>
      <c r="I75" s="3" t="s">
        <v>6</v>
      </c>
      <c r="J75" s="3" t="s">
        <v>7</v>
      </c>
    </row>
    <row r="76" spans="2:10" x14ac:dyDescent="0.25">
      <c r="B76" s="6">
        <v>0.01</v>
      </c>
      <c r="C76" s="9">
        <v>6714.36</v>
      </c>
      <c r="D76" s="7">
        <v>0</v>
      </c>
      <c r="E76" s="8">
        <v>1.9199999999999998E-2</v>
      </c>
      <c r="F76" s="4"/>
      <c r="G76" s="6">
        <v>0.01</v>
      </c>
      <c r="H76" s="9">
        <v>7460.4</v>
      </c>
      <c r="I76" s="7">
        <v>0</v>
      </c>
      <c r="J76" s="8">
        <v>1.9199999999999998E-2</v>
      </c>
    </row>
    <row r="77" spans="2:10" x14ac:dyDescent="0.25">
      <c r="B77" s="9">
        <v>6714.37</v>
      </c>
      <c r="C77" s="9">
        <v>56988.450000000004</v>
      </c>
      <c r="D77" s="9">
        <v>128.88</v>
      </c>
      <c r="E77" s="8">
        <v>6.4000000000000001E-2</v>
      </c>
      <c r="F77" s="4"/>
      <c r="G77" s="9">
        <v>7460.41</v>
      </c>
      <c r="H77" s="9">
        <v>63320.5</v>
      </c>
      <c r="I77" s="5">
        <v>143.19999999999999</v>
      </c>
      <c r="J77" s="8">
        <v>6.4000000000000001E-2</v>
      </c>
    </row>
    <row r="78" spans="2:10" x14ac:dyDescent="0.25">
      <c r="B78" s="9">
        <v>56988.460000000006</v>
      </c>
      <c r="C78" s="9">
        <v>100152.09</v>
      </c>
      <c r="D78" s="9">
        <v>3346.47</v>
      </c>
      <c r="E78" s="8">
        <v>0.10880000000000001</v>
      </c>
      <c r="F78" s="4"/>
      <c r="G78" s="9">
        <v>63320.51</v>
      </c>
      <c r="H78" s="9">
        <v>111280.1</v>
      </c>
      <c r="I78" s="5">
        <v>3718.2999999999997</v>
      </c>
      <c r="J78" s="8">
        <v>0.10880000000000001</v>
      </c>
    </row>
    <row r="79" spans="2:10" x14ac:dyDescent="0.25">
      <c r="B79" s="9">
        <v>100152.09999999999</v>
      </c>
      <c r="C79" s="9">
        <v>116422.38</v>
      </c>
      <c r="D79" s="9">
        <v>8042.67</v>
      </c>
      <c r="E79" s="8">
        <v>0.16</v>
      </c>
      <c r="F79" s="4"/>
      <c r="G79" s="9">
        <v>111280.11</v>
      </c>
      <c r="H79" s="9">
        <v>129358.2</v>
      </c>
      <c r="I79" s="5">
        <v>8936.2999999999993</v>
      </c>
      <c r="J79" s="8">
        <v>0.16</v>
      </c>
    </row>
    <row r="80" spans="2:10" x14ac:dyDescent="0.25">
      <c r="B80" s="9">
        <v>116422.39</v>
      </c>
      <c r="C80" s="9">
        <v>139389.38999999998</v>
      </c>
      <c r="D80" s="9">
        <v>10645.920000000002</v>
      </c>
      <c r="E80" s="8">
        <v>0.17920000000000003</v>
      </c>
      <c r="F80" s="4"/>
      <c r="G80" s="9">
        <v>129358.20999999999</v>
      </c>
      <c r="H80" s="9">
        <v>154877.09999999998</v>
      </c>
      <c r="I80" s="5">
        <v>11828.800000000001</v>
      </c>
      <c r="J80" s="8">
        <v>0.17920000000000003</v>
      </c>
    </row>
    <row r="81" spans="2:10" x14ac:dyDescent="0.25">
      <c r="B81" s="9">
        <v>139389.4</v>
      </c>
      <c r="C81" s="9">
        <v>281128.41000000003</v>
      </c>
      <c r="D81" s="9">
        <v>14761.62</v>
      </c>
      <c r="E81" s="8">
        <v>0.21359999999999998</v>
      </c>
      <c r="F81" s="4"/>
      <c r="G81" s="9">
        <v>154877.10999999999</v>
      </c>
      <c r="H81" s="9">
        <v>312364.90000000002</v>
      </c>
      <c r="I81" s="5">
        <v>16401.8</v>
      </c>
      <c r="J81" s="8">
        <v>0.21359999999999998</v>
      </c>
    </row>
    <row r="82" spans="2:10" x14ac:dyDescent="0.25">
      <c r="B82" s="9">
        <v>281128.42000000004</v>
      </c>
      <c r="C82" s="9">
        <v>443097</v>
      </c>
      <c r="D82" s="9">
        <v>45037.08</v>
      </c>
      <c r="E82" s="8">
        <v>0.23519999999999999</v>
      </c>
      <c r="F82" s="4"/>
      <c r="G82" s="9">
        <v>312364.91000000003</v>
      </c>
      <c r="H82" s="9">
        <v>492330</v>
      </c>
      <c r="I82" s="5">
        <v>50041.2</v>
      </c>
      <c r="J82" s="8">
        <v>0.23519999999999999</v>
      </c>
    </row>
    <row r="83" spans="2:10" x14ac:dyDescent="0.25">
      <c r="B83" s="9">
        <v>443097.01</v>
      </c>
      <c r="C83" s="9">
        <v>845945.1</v>
      </c>
      <c r="D83" s="9">
        <v>83132.009999999995</v>
      </c>
      <c r="E83" s="8">
        <v>0.3</v>
      </c>
      <c r="F83" s="4"/>
      <c r="G83" s="9">
        <v>492330.01</v>
      </c>
      <c r="H83" s="9">
        <v>939939</v>
      </c>
      <c r="I83" s="5">
        <v>92368.9</v>
      </c>
      <c r="J83" s="8">
        <v>0.3</v>
      </c>
    </row>
    <row r="84" spans="2:10" x14ac:dyDescent="0.25">
      <c r="B84" s="9">
        <v>845945.11</v>
      </c>
      <c r="C84" s="9">
        <v>1127926.8</v>
      </c>
      <c r="D84" s="9">
        <v>203986.52999999997</v>
      </c>
      <c r="E84" s="8">
        <v>0.32</v>
      </c>
      <c r="F84" s="4"/>
      <c r="G84" s="9">
        <v>939939.01</v>
      </c>
      <c r="H84" s="9">
        <v>1253252</v>
      </c>
      <c r="I84" s="5">
        <v>226651.69999999998</v>
      </c>
      <c r="J84" s="8">
        <v>0.32</v>
      </c>
    </row>
    <row r="85" spans="2:10" x14ac:dyDescent="0.25">
      <c r="B85" s="9">
        <v>1127926.81</v>
      </c>
      <c r="C85" s="9">
        <v>3383780.4899999998</v>
      </c>
      <c r="D85" s="9">
        <v>294220.62</v>
      </c>
      <c r="E85" s="8">
        <v>0.34</v>
      </c>
      <c r="F85" s="4"/>
      <c r="G85" s="9">
        <v>1253252.01</v>
      </c>
      <c r="H85" s="9">
        <v>3759756.0999999996</v>
      </c>
      <c r="I85" s="5">
        <v>326911.8</v>
      </c>
      <c r="J85" s="8">
        <v>0.34</v>
      </c>
    </row>
    <row r="86" spans="2:10" x14ac:dyDescent="0.25">
      <c r="B86" s="9">
        <v>3383780.4999999995</v>
      </c>
      <c r="C86" s="6" t="s">
        <v>8</v>
      </c>
      <c r="D86" s="9">
        <v>1061210.8800000001</v>
      </c>
      <c r="E86" s="8">
        <v>0.35</v>
      </c>
      <c r="F86" s="4"/>
      <c r="G86" s="9">
        <v>3759756.1099999994</v>
      </c>
      <c r="H86" s="6" t="s">
        <v>8</v>
      </c>
      <c r="I86" s="5">
        <v>1179123.2000000002</v>
      </c>
      <c r="J86" s="8">
        <v>0.35</v>
      </c>
    </row>
    <row r="87" spans="2:10" x14ac:dyDescent="0.25">
      <c r="F87" s="4"/>
    </row>
    <row r="88" spans="2:10" x14ac:dyDescent="0.25">
      <c r="F88" s="4"/>
    </row>
    <row r="89" spans="2:10" x14ac:dyDescent="0.25">
      <c r="F89" s="4"/>
    </row>
    <row r="90" spans="2:10" x14ac:dyDescent="0.25">
      <c r="F90" s="4"/>
    </row>
    <row r="91" spans="2:10" x14ac:dyDescent="0.25">
      <c r="F91" s="4"/>
    </row>
    <row r="92" spans="2:10" ht="17.25" x14ac:dyDescent="0.25">
      <c r="B92" s="10" t="s">
        <v>17</v>
      </c>
      <c r="C92" s="10"/>
      <c r="D92" s="10"/>
      <c r="E92" s="10"/>
      <c r="F92" s="4"/>
      <c r="G92" s="10" t="s">
        <v>18</v>
      </c>
      <c r="H92" s="10"/>
      <c r="I92" s="10"/>
      <c r="J92" s="10"/>
    </row>
    <row r="93" spans="2:10" ht="105" x14ac:dyDescent="0.25">
      <c r="B93" s="11" t="s">
        <v>4</v>
      </c>
      <c r="C93" s="11" t="s">
        <v>5</v>
      </c>
      <c r="D93" s="11" t="s">
        <v>6</v>
      </c>
      <c r="E93" s="11" t="s">
        <v>7</v>
      </c>
      <c r="F93" s="4"/>
      <c r="G93" s="11" t="s">
        <v>4</v>
      </c>
      <c r="H93" s="11" t="s">
        <v>5</v>
      </c>
      <c r="I93" s="11" t="s">
        <v>6</v>
      </c>
      <c r="J93" s="11" t="s">
        <v>7</v>
      </c>
    </row>
    <row r="94" spans="2:10" x14ac:dyDescent="0.25">
      <c r="B94" s="6">
        <v>0.01</v>
      </c>
      <c r="C94" s="9">
        <v>8206.44</v>
      </c>
      <c r="D94" s="7">
        <v>0</v>
      </c>
      <c r="E94" s="8">
        <v>1.9199999999999998E-2</v>
      </c>
      <c r="F94" s="4"/>
      <c r="G94" s="6">
        <v>0.01</v>
      </c>
      <c r="H94" s="9">
        <v>8952.49</v>
      </c>
      <c r="I94" s="7">
        <v>0</v>
      </c>
      <c r="J94" s="8">
        <v>1.9199999999999998E-2</v>
      </c>
    </row>
    <row r="95" spans="2:10" x14ac:dyDescent="0.25">
      <c r="B95" s="9">
        <v>8206.4500000000007</v>
      </c>
      <c r="C95" s="9">
        <v>69652.55</v>
      </c>
      <c r="D95" s="9">
        <v>157.52000000000001</v>
      </c>
      <c r="E95" s="8">
        <v>6.4000000000000001E-2</v>
      </c>
      <c r="F95" s="4"/>
      <c r="G95" s="9">
        <v>8952.5</v>
      </c>
      <c r="H95" s="9">
        <v>75984.600000000006</v>
      </c>
      <c r="I95" s="5">
        <v>171.88</v>
      </c>
      <c r="J95" s="8">
        <v>6.4000000000000001E-2</v>
      </c>
    </row>
    <row r="96" spans="2:10" x14ac:dyDescent="0.25">
      <c r="B96" s="9">
        <v>69652.56</v>
      </c>
      <c r="C96" s="9">
        <v>122408.11</v>
      </c>
      <c r="D96" s="9">
        <v>4090.1299999999997</v>
      </c>
      <c r="E96" s="8">
        <v>0.10880000000000001</v>
      </c>
      <c r="F96" s="4"/>
      <c r="G96" s="9">
        <v>75984.61</v>
      </c>
      <c r="H96" s="9">
        <v>133536.12</v>
      </c>
      <c r="I96" s="5">
        <v>4461.9399999999996</v>
      </c>
      <c r="J96" s="8">
        <v>0.10880000000000001</v>
      </c>
    </row>
    <row r="97" spans="2:10" x14ac:dyDescent="0.25">
      <c r="B97" s="9">
        <v>122408.12</v>
      </c>
      <c r="C97" s="9">
        <v>142294.01999999999</v>
      </c>
      <c r="D97" s="9">
        <v>9829.93</v>
      </c>
      <c r="E97" s="8">
        <v>0.16</v>
      </c>
      <c r="F97" s="4"/>
      <c r="G97" s="9">
        <v>133536.13</v>
      </c>
      <c r="H97" s="9">
        <v>155229.84</v>
      </c>
      <c r="I97" s="5">
        <v>10723.55</v>
      </c>
      <c r="J97" s="8">
        <v>0.16</v>
      </c>
    </row>
    <row r="98" spans="2:10" x14ac:dyDescent="0.25">
      <c r="B98" s="9">
        <v>142294.03</v>
      </c>
      <c r="C98" s="9">
        <v>170364.81</v>
      </c>
      <c r="D98" s="9">
        <v>13011.68</v>
      </c>
      <c r="E98" s="8">
        <v>0.17920000000000003</v>
      </c>
      <c r="F98" s="4"/>
      <c r="G98" s="9">
        <v>155229.85</v>
      </c>
      <c r="H98" s="9">
        <v>185852.52</v>
      </c>
      <c r="I98" s="5">
        <v>14194.54</v>
      </c>
      <c r="J98" s="8">
        <v>0.17920000000000003</v>
      </c>
    </row>
    <row r="99" spans="2:10" x14ac:dyDescent="0.25">
      <c r="B99" s="9">
        <v>170364.82</v>
      </c>
      <c r="C99" s="9">
        <v>343601.39</v>
      </c>
      <c r="D99" s="9">
        <v>18041.98</v>
      </c>
      <c r="E99" s="8">
        <v>0.21359999999999998</v>
      </c>
      <c r="F99" s="4"/>
      <c r="G99" s="9">
        <v>185852.53</v>
      </c>
      <c r="H99" s="9">
        <v>374837.88</v>
      </c>
      <c r="I99" s="5">
        <v>19682.13</v>
      </c>
      <c r="J99" s="8">
        <v>0.21359999999999998</v>
      </c>
    </row>
    <row r="100" spans="2:10" x14ac:dyDescent="0.25">
      <c r="B100" s="9">
        <v>343601.4</v>
      </c>
      <c r="C100" s="9">
        <v>541563</v>
      </c>
      <c r="D100" s="9">
        <v>55045.32</v>
      </c>
      <c r="E100" s="8">
        <v>0.23519999999999999</v>
      </c>
      <c r="F100" s="4"/>
      <c r="G100" s="9">
        <v>374837.89</v>
      </c>
      <c r="H100" s="9">
        <v>590796</v>
      </c>
      <c r="I100" s="5">
        <v>60049.4</v>
      </c>
      <c r="J100" s="8">
        <v>0.23519999999999999</v>
      </c>
    </row>
    <row r="101" spans="2:10" x14ac:dyDescent="0.25">
      <c r="B101" s="9">
        <v>541563.01</v>
      </c>
      <c r="C101" s="9">
        <v>1033932.8999999999</v>
      </c>
      <c r="D101" s="9">
        <v>101605.79</v>
      </c>
      <c r="E101" s="8">
        <v>0.3</v>
      </c>
      <c r="F101" s="4"/>
      <c r="G101" s="9">
        <v>590796.01</v>
      </c>
      <c r="H101" s="9">
        <v>1127926.7999999998</v>
      </c>
      <c r="I101" s="5">
        <v>110842.74</v>
      </c>
      <c r="J101" s="8">
        <v>0.3</v>
      </c>
    </row>
    <row r="102" spans="2:10" x14ac:dyDescent="0.25">
      <c r="B102" s="9">
        <v>1033932.9099999999</v>
      </c>
      <c r="C102" s="9">
        <v>1378577.2</v>
      </c>
      <c r="D102" s="9">
        <v>249316.87</v>
      </c>
      <c r="E102" s="8">
        <v>0.32</v>
      </c>
      <c r="F102" s="4"/>
      <c r="G102" s="9">
        <v>1127926.8099999998</v>
      </c>
      <c r="H102" s="9">
        <v>1503902.4</v>
      </c>
      <c r="I102" s="5">
        <v>271981.99</v>
      </c>
      <c r="J102" s="8">
        <v>0.32</v>
      </c>
    </row>
    <row r="103" spans="2:10" x14ac:dyDescent="0.25">
      <c r="B103" s="9">
        <v>1378577.21</v>
      </c>
      <c r="C103" s="9">
        <v>4135731.71</v>
      </c>
      <c r="D103" s="9">
        <v>359602.98</v>
      </c>
      <c r="E103" s="8">
        <v>0.34</v>
      </c>
      <c r="F103" s="4"/>
      <c r="G103" s="9">
        <v>1503902.41</v>
      </c>
      <c r="H103" s="9">
        <v>4511707.32</v>
      </c>
      <c r="I103" s="5">
        <v>392294.17</v>
      </c>
      <c r="J103" s="8">
        <v>0.34</v>
      </c>
    </row>
    <row r="104" spans="2:10" x14ac:dyDescent="0.25">
      <c r="B104" s="9">
        <v>4135731.7199999997</v>
      </c>
      <c r="C104" s="6" t="s">
        <v>8</v>
      </c>
      <c r="D104" s="9">
        <v>1297035.52</v>
      </c>
      <c r="E104" s="8">
        <v>0.35</v>
      </c>
      <c r="F104" s="4"/>
      <c r="G104" s="9">
        <v>4511707.33</v>
      </c>
      <c r="H104" s="6" t="s">
        <v>8</v>
      </c>
      <c r="I104" s="5">
        <v>1414947.85</v>
      </c>
      <c r="J104" s="8">
        <v>0.35</v>
      </c>
    </row>
    <row r="110" spans="2:10" ht="23.25" x14ac:dyDescent="0.25">
      <c r="B110" s="1" t="s">
        <v>307</v>
      </c>
      <c r="C110" s="1"/>
      <c r="D110" s="1"/>
      <c r="E110" s="1"/>
      <c r="F110" s="1"/>
      <c r="G110" s="1"/>
      <c r="H110" s="1"/>
      <c r="I110" s="1"/>
    </row>
    <row r="115" spans="2:9" ht="18" x14ac:dyDescent="0.25">
      <c r="B115" s="330"/>
      <c r="C115" s="330"/>
      <c r="D115" s="331" t="s">
        <v>308</v>
      </c>
      <c r="E115" s="331"/>
      <c r="F115" s="331"/>
      <c r="G115" s="331"/>
      <c r="H115" s="330"/>
      <c r="I115" s="330"/>
    </row>
    <row r="116" spans="2:9" ht="105" x14ac:dyDescent="0.25">
      <c r="B116" s="332"/>
      <c r="C116" s="332"/>
      <c r="D116" s="11" t="s">
        <v>4</v>
      </c>
      <c r="E116" s="11" t="s">
        <v>5</v>
      </c>
      <c r="F116" s="11" t="s">
        <v>6</v>
      </c>
      <c r="G116" s="11" t="s">
        <v>309</v>
      </c>
      <c r="H116" s="332"/>
      <c r="I116" s="332"/>
    </row>
    <row r="117" spans="2:9" x14ac:dyDescent="0.25">
      <c r="B117" s="6"/>
      <c r="C117" s="9"/>
      <c r="D117" s="6">
        <v>0.01</v>
      </c>
      <c r="E117" s="9">
        <v>8952.49</v>
      </c>
      <c r="F117" s="7">
        <v>0</v>
      </c>
      <c r="G117" s="8">
        <v>1.9199999999999998E-2</v>
      </c>
      <c r="H117" s="332"/>
      <c r="I117" s="332"/>
    </row>
    <row r="118" spans="2:9" x14ac:dyDescent="0.25">
      <c r="B118" s="9"/>
      <c r="C118" s="9"/>
      <c r="D118" s="9">
        <v>8952.5</v>
      </c>
      <c r="E118" s="9">
        <v>75984.600000000006</v>
      </c>
      <c r="F118" s="6">
        <v>171.88</v>
      </c>
      <c r="G118" s="8">
        <v>6.4000000000000001E-2</v>
      </c>
      <c r="H118" s="332"/>
      <c r="I118" s="332"/>
    </row>
    <row r="119" spans="2:9" x14ac:dyDescent="0.25">
      <c r="B119" s="9"/>
      <c r="C119" s="9"/>
      <c r="D119" s="9">
        <v>75984.61</v>
      </c>
      <c r="E119" s="9">
        <v>133536.12</v>
      </c>
      <c r="F119" s="9">
        <v>4461.9399999999996</v>
      </c>
      <c r="G119" s="8">
        <v>0.10880000000000001</v>
      </c>
      <c r="H119" s="332"/>
      <c r="I119" s="332"/>
    </row>
    <row r="120" spans="2:9" x14ac:dyDescent="0.25">
      <c r="B120" s="9"/>
      <c r="C120" s="9"/>
      <c r="D120" s="9">
        <v>133536.13</v>
      </c>
      <c r="E120" s="9">
        <v>155229.84</v>
      </c>
      <c r="F120" s="9">
        <v>10723.55</v>
      </c>
      <c r="G120" s="8">
        <v>0.16</v>
      </c>
      <c r="H120" s="332"/>
      <c r="I120" s="332"/>
    </row>
    <row r="121" spans="2:9" x14ac:dyDescent="0.25">
      <c r="B121" s="9"/>
      <c r="C121" s="9"/>
      <c r="D121" s="9">
        <v>155229.85</v>
      </c>
      <c r="E121" s="9">
        <v>185852.52</v>
      </c>
      <c r="F121" s="9">
        <v>14194.54</v>
      </c>
      <c r="G121" s="8">
        <v>0.17920000000000003</v>
      </c>
      <c r="H121" s="332"/>
      <c r="I121" s="332"/>
    </row>
    <row r="122" spans="2:9" x14ac:dyDescent="0.25">
      <c r="B122" s="9"/>
      <c r="C122" s="9"/>
      <c r="D122" s="9">
        <v>185852.53</v>
      </c>
      <c r="E122" s="9">
        <v>374837.88</v>
      </c>
      <c r="F122" s="9">
        <v>19682.13</v>
      </c>
      <c r="G122" s="8">
        <v>0.21359999999999998</v>
      </c>
      <c r="H122" s="332"/>
      <c r="I122" s="332"/>
    </row>
    <row r="123" spans="2:9" x14ac:dyDescent="0.25">
      <c r="B123" s="9"/>
      <c r="C123" s="9"/>
      <c r="D123" s="9">
        <v>374837.89</v>
      </c>
      <c r="E123" s="9">
        <v>590796</v>
      </c>
      <c r="F123" s="9">
        <v>60049.4</v>
      </c>
      <c r="G123" s="8">
        <v>0.23519999999999999</v>
      </c>
      <c r="H123" s="332"/>
      <c r="I123" s="332"/>
    </row>
    <row r="124" spans="2:9" x14ac:dyDescent="0.25">
      <c r="B124" s="9"/>
      <c r="C124" s="9"/>
      <c r="D124" s="9">
        <v>590796.01</v>
      </c>
      <c r="E124" s="9">
        <v>1127926.7999999998</v>
      </c>
      <c r="F124" s="9">
        <v>110842.74</v>
      </c>
      <c r="G124" s="8">
        <v>0.3</v>
      </c>
      <c r="H124" s="332"/>
      <c r="I124" s="332"/>
    </row>
    <row r="125" spans="2:9" x14ac:dyDescent="0.25">
      <c r="B125" s="9"/>
      <c r="C125" s="9"/>
      <c r="D125" s="9">
        <v>1127926.8099999998</v>
      </c>
      <c r="E125" s="9">
        <v>1503902.4</v>
      </c>
      <c r="F125" s="9">
        <v>271981.99</v>
      </c>
      <c r="G125" s="8">
        <v>0.32</v>
      </c>
      <c r="H125" s="332"/>
      <c r="I125" s="332"/>
    </row>
    <row r="126" spans="2:9" x14ac:dyDescent="0.25">
      <c r="B126" s="9"/>
      <c r="C126" s="9"/>
      <c r="D126" s="9">
        <v>1503902.41</v>
      </c>
      <c r="E126" s="9">
        <v>4511707.32</v>
      </c>
      <c r="F126" s="9">
        <v>392294.17</v>
      </c>
      <c r="G126" s="8">
        <v>0.34</v>
      </c>
      <c r="H126" s="332"/>
      <c r="I126" s="332"/>
    </row>
    <row r="127" spans="2:9" x14ac:dyDescent="0.25">
      <c r="B127" s="9"/>
      <c r="C127" s="6"/>
      <c r="D127" s="9">
        <v>4511707.33</v>
      </c>
      <c r="E127" s="6" t="s">
        <v>8</v>
      </c>
      <c r="F127" s="9">
        <v>1414947.85</v>
      </c>
      <c r="G127" s="8">
        <v>0.35</v>
      </c>
      <c r="H127" s="332"/>
      <c r="I127" s="332"/>
    </row>
  </sheetData>
  <mergeCells count="15">
    <mergeCell ref="B110:I110"/>
    <mergeCell ref="D115:G115"/>
    <mergeCell ref="B56:E56"/>
    <mergeCell ref="G56:J56"/>
    <mergeCell ref="B74:E74"/>
    <mergeCell ref="G74:J74"/>
    <mergeCell ref="B92:E92"/>
    <mergeCell ref="G92:J92"/>
    <mergeCell ref="B4:J4"/>
    <mergeCell ref="B6:E6"/>
    <mergeCell ref="G6:J6"/>
    <mergeCell ref="B24:E24"/>
    <mergeCell ref="G24:J24"/>
    <mergeCell ref="B42:E42"/>
    <mergeCell ref="G42:J4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77"/>
  <sheetViews>
    <sheetView showGridLines="0" tabSelected="1" workbookViewId="0">
      <selection activeCell="A10" sqref="A10"/>
    </sheetView>
  </sheetViews>
  <sheetFormatPr baseColWidth="10" defaultRowHeight="15" x14ac:dyDescent="0.25"/>
  <cols>
    <col min="1" max="1" width="30.140625" style="61" customWidth="1"/>
    <col min="2" max="2" width="0.140625" customWidth="1"/>
    <col min="3" max="3" width="14.140625" customWidth="1"/>
    <col min="4" max="4" width="16.42578125" customWidth="1"/>
    <col min="5" max="5" width="17.85546875" customWidth="1"/>
    <col min="6" max="13" width="14.140625" customWidth="1"/>
    <col min="14" max="14" width="17.140625" customWidth="1"/>
    <col min="15" max="15" width="3" hidden="1" customWidth="1"/>
    <col min="16" max="16" width="17.42578125" style="20" customWidth="1"/>
    <col min="17" max="18" width="11.42578125" style="20"/>
    <col min="19" max="19" width="12.140625" style="20" bestFit="1" customWidth="1"/>
    <col min="20" max="30" width="11.42578125" style="20"/>
    <col min="257" max="257" width="28" customWidth="1"/>
    <col min="258" max="258" width="0.140625" customWidth="1"/>
    <col min="259" max="270" width="14.140625" customWidth="1"/>
    <col min="271" max="271" width="1.85546875" customWidth="1"/>
    <col min="272" max="272" width="14.85546875" bestFit="1" customWidth="1"/>
    <col min="513" max="513" width="28" customWidth="1"/>
    <col min="514" max="514" width="0.140625" customWidth="1"/>
    <col min="515" max="526" width="14.140625" customWidth="1"/>
    <col min="527" max="527" width="1.85546875" customWidth="1"/>
    <col min="528" max="528" width="14.85546875" bestFit="1" customWidth="1"/>
    <col min="769" max="769" width="28" customWidth="1"/>
    <col min="770" max="770" width="0.140625" customWidth="1"/>
    <col min="771" max="782" width="14.140625" customWidth="1"/>
    <col min="783" max="783" width="1.85546875" customWidth="1"/>
    <col min="784" max="784" width="14.85546875" bestFit="1" customWidth="1"/>
    <col min="1025" max="1025" width="28" customWidth="1"/>
    <col min="1026" max="1026" width="0.140625" customWidth="1"/>
    <col min="1027" max="1038" width="14.140625" customWidth="1"/>
    <col min="1039" max="1039" width="1.85546875" customWidth="1"/>
    <col min="1040" max="1040" width="14.85546875" bestFit="1" customWidth="1"/>
    <col min="1281" max="1281" width="28" customWidth="1"/>
    <col min="1282" max="1282" width="0.140625" customWidth="1"/>
    <col min="1283" max="1294" width="14.140625" customWidth="1"/>
    <col min="1295" max="1295" width="1.85546875" customWidth="1"/>
    <col min="1296" max="1296" width="14.85546875" bestFit="1" customWidth="1"/>
    <col min="1537" max="1537" width="28" customWidth="1"/>
    <col min="1538" max="1538" width="0.140625" customWidth="1"/>
    <col min="1539" max="1550" width="14.140625" customWidth="1"/>
    <col min="1551" max="1551" width="1.85546875" customWidth="1"/>
    <col min="1552" max="1552" width="14.85546875" bestFit="1" customWidth="1"/>
    <col min="1793" max="1793" width="28" customWidth="1"/>
    <col min="1794" max="1794" width="0.140625" customWidth="1"/>
    <col min="1795" max="1806" width="14.140625" customWidth="1"/>
    <col min="1807" max="1807" width="1.85546875" customWidth="1"/>
    <col min="1808" max="1808" width="14.85546875" bestFit="1" customWidth="1"/>
    <col min="2049" max="2049" width="28" customWidth="1"/>
    <col min="2050" max="2050" width="0.140625" customWidth="1"/>
    <col min="2051" max="2062" width="14.140625" customWidth="1"/>
    <col min="2063" max="2063" width="1.85546875" customWidth="1"/>
    <col min="2064" max="2064" width="14.85546875" bestFit="1" customWidth="1"/>
    <col min="2305" max="2305" width="28" customWidth="1"/>
    <col min="2306" max="2306" width="0.140625" customWidth="1"/>
    <col min="2307" max="2318" width="14.140625" customWidth="1"/>
    <col min="2319" max="2319" width="1.85546875" customWidth="1"/>
    <col min="2320" max="2320" width="14.85546875" bestFit="1" customWidth="1"/>
    <col min="2561" max="2561" width="28" customWidth="1"/>
    <col min="2562" max="2562" width="0.140625" customWidth="1"/>
    <col min="2563" max="2574" width="14.140625" customWidth="1"/>
    <col min="2575" max="2575" width="1.85546875" customWidth="1"/>
    <col min="2576" max="2576" width="14.85546875" bestFit="1" customWidth="1"/>
    <col min="2817" max="2817" width="28" customWidth="1"/>
    <col min="2818" max="2818" width="0.140625" customWidth="1"/>
    <col min="2819" max="2830" width="14.140625" customWidth="1"/>
    <col min="2831" max="2831" width="1.85546875" customWidth="1"/>
    <col min="2832" max="2832" width="14.85546875" bestFit="1" customWidth="1"/>
    <col min="3073" max="3073" width="28" customWidth="1"/>
    <col min="3074" max="3074" width="0.140625" customWidth="1"/>
    <col min="3075" max="3086" width="14.140625" customWidth="1"/>
    <col min="3087" max="3087" width="1.85546875" customWidth="1"/>
    <col min="3088" max="3088" width="14.85546875" bestFit="1" customWidth="1"/>
    <col min="3329" max="3329" width="28" customWidth="1"/>
    <col min="3330" max="3330" width="0.140625" customWidth="1"/>
    <col min="3331" max="3342" width="14.140625" customWidth="1"/>
    <col min="3343" max="3343" width="1.85546875" customWidth="1"/>
    <col min="3344" max="3344" width="14.85546875" bestFit="1" customWidth="1"/>
    <col min="3585" max="3585" width="28" customWidth="1"/>
    <col min="3586" max="3586" width="0.140625" customWidth="1"/>
    <col min="3587" max="3598" width="14.140625" customWidth="1"/>
    <col min="3599" max="3599" width="1.85546875" customWidth="1"/>
    <col min="3600" max="3600" width="14.85546875" bestFit="1" customWidth="1"/>
    <col min="3841" max="3841" width="28" customWidth="1"/>
    <col min="3842" max="3842" width="0.140625" customWidth="1"/>
    <col min="3843" max="3854" width="14.140625" customWidth="1"/>
    <col min="3855" max="3855" width="1.85546875" customWidth="1"/>
    <col min="3856" max="3856" width="14.85546875" bestFit="1" customWidth="1"/>
    <col min="4097" max="4097" width="28" customWidth="1"/>
    <col min="4098" max="4098" width="0.140625" customWidth="1"/>
    <col min="4099" max="4110" width="14.140625" customWidth="1"/>
    <col min="4111" max="4111" width="1.85546875" customWidth="1"/>
    <col min="4112" max="4112" width="14.85546875" bestFit="1" customWidth="1"/>
    <col min="4353" max="4353" width="28" customWidth="1"/>
    <col min="4354" max="4354" width="0.140625" customWidth="1"/>
    <col min="4355" max="4366" width="14.140625" customWidth="1"/>
    <col min="4367" max="4367" width="1.85546875" customWidth="1"/>
    <col min="4368" max="4368" width="14.85546875" bestFit="1" customWidth="1"/>
    <col min="4609" max="4609" width="28" customWidth="1"/>
    <col min="4610" max="4610" width="0.140625" customWidth="1"/>
    <col min="4611" max="4622" width="14.140625" customWidth="1"/>
    <col min="4623" max="4623" width="1.85546875" customWidth="1"/>
    <col min="4624" max="4624" width="14.85546875" bestFit="1" customWidth="1"/>
    <col min="4865" max="4865" width="28" customWidth="1"/>
    <col min="4866" max="4866" width="0.140625" customWidth="1"/>
    <col min="4867" max="4878" width="14.140625" customWidth="1"/>
    <col min="4879" max="4879" width="1.85546875" customWidth="1"/>
    <col min="4880" max="4880" width="14.85546875" bestFit="1" customWidth="1"/>
    <col min="5121" max="5121" width="28" customWidth="1"/>
    <col min="5122" max="5122" width="0.140625" customWidth="1"/>
    <col min="5123" max="5134" width="14.140625" customWidth="1"/>
    <col min="5135" max="5135" width="1.85546875" customWidth="1"/>
    <col min="5136" max="5136" width="14.85546875" bestFit="1" customWidth="1"/>
    <col min="5377" max="5377" width="28" customWidth="1"/>
    <col min="5378" max="5378" width="0.140625" customWidth="1"/>
    <col min="5379" max="5390" width="14.140625" customWidth="1"/>
    <col min="5391" max="5391" width="1.85546875" customWidth="1"/>
    <col min="5392" max="5392" width="14.85546875" bestFit="1" customWidth="1"/>
    <col min="5633" max="5633" width="28" customWidth="1"/>
    <col min="5634" max="5634" width="0.140625" customWidth="1"/>
    <col min="5635" max="5646" width="14.140625" customWidth="1"/>
    <col min="5647" max="5647" width="1.85546875" customWidth="1"/>
    <col min="5648" max="5648" width="14.85546875" bestFit="1" customWidth="1"/>
    <col min="5889" max="5889" width="28" customWidth="1"/>
    <col min="5890" max="5890" width="0.140625" customWidth="1"/>
    <col min="5891" max="5902" width="14.140625" customWidth="1"/>
    <col min="5903" max="5903" width="1.85546875" customWidth="1"/>
    <col min="5904" max="5904" width="14.85546875" bestFit="1" customWidth="1"/>
    <col min="6145" max="6145" width="28" customWidth="1"/>
    <col min="6146" max="6146" width="0.140625" customWidth="1"/>
    <col min="6147" max="6158" width="14.140625" customWidth="1"/>
    <col min="6159" max="6159" width="1.85546875" customWidth="1"/>
    <col min="6160" max="6160" width="14.85546875" bestFit="1" customWidth="1"/>
    <col min="6401" max="6401" width="28" customWidth="1"/>
    <col min="6402" max="6402" width="0.140625" customWidth="1"/>
    <col min="6403" max="6414" width="14.140625" customWidth="1"/>
    <col min="6415" max="6415" width="1.85546875" customWidth="1"/>
    <col min="6416" max="6416" width="14.85546875" bestFit="1" customWidth="1"/>
    <col min="6657" max="6657" width="28" customWidth="1"/>
    <col min="6658" max="6658" width="0.140625" customWidth="1"/>
    <col min="6659" max="6670" width="14.140625" customWidth="1"/>
    <col min="6671" max="6671" width="1.85546875" customWidth="1"/>
    <col min="6672" max="6672" width="14.85546875" bestFit="1" customWidth="1"/>
    <col min="6913" max="6913" width="28" customWidth="1"/>
    <col min="6914" max="6914" width="0.140625" customWidth="1"/>
    <col min="6915" max="6926" width="14.140625" customWidth="1"/>
    <col min="6927" max="6927" width="1.85546875" customWidth="1"/>
    <col min="6928" max="6928" width="14.85546875" bestFit="1" customWidth="1"/>
    <col min="7169" max="7169" width="28" customWidth="1"/>
    <col min="7170" max="7170" width="0.140625" customWidth="1"/>
    <col min="7171" max="7182" width="14.140625" customWidth="1"/>
    <col min="7183" max="7183" width="1.85546875" customWidth="1"/>
    <col min="7184" max="7184" width="14.85546875" bestFit="1" customWidth="1"/>
    <col min="7425" max="7425" width="28" customWidth="1"/>
    <col min="7426" max="7426" width="0.140625" customWidth="1"/>
    <col min="7427" max="7438" width="14.140625" customWidth="1"/>
    <col min="7439" max="7439" width="1.85546875" customWidth="1"/>
    <col min="7440" max="7440" width="14.85546875" bestFit="1" customWidth="1"/>
    <col min="7681" max="7681" width="28" customWidth="1"/>
    <col min="7682" max="7682" width="0.140625" customWidth="1"/>
    <col min="7683" max="7694" width="14.140625" customWidth="1"/>
    <col min="7695" max="7695" width="1.85546875" customWidth="1"/>
    <col min="7696" max="7696" width="14.85546875" bestFit="1" customWidth="1"/>
    <col min="7937" max="7937" width="28" customWidth="1"/>
    <col min="7938" max="7938" width="0.140625" customWidth="1"/>
    <col min="7939" max="7950" width="14.140625" customWidth="1"/>
    <col min="7951" max="7951" width="1.85546875" customWidth="1"/>
    <col min="7952" max="7952" width="14.85546875" bestFit="1" customWidth="1"/>
    <col min="8193" max="8193" width="28" customWidth="1"/>
    <col min="8194" max="8194" width="0.140625" customWidth="1"/>
    <col min="8195" max="8206" width="14.140625" customWidth="1"/>
    <col min="8207" max="8207" width="1.85546875" customWidth="1"/>
    <col min="8208" max="8208" width="14.85546875" bestFit="1" customWidth="1"/>
    <col min="8449" max="8449" width="28" customWidth="1"/>
    <col min="8450" max="8450" width="0.140625" customWidth="1"/>
    <col min="8451" max="8462" width="14.140625" customWidth="1"/>
    <col min="8463" max="8463" width="1.85546875" customWidth="1"/>
    <col min="8464" max="8464" width="14.85546875" bestFit="1" customWidth="1"/>
    <col min="8705" max="8705" width="28" customWidth="1"/>
    <col min="8706" max="8706" width="0.140625" customWidth="1"/>
    <col min="8707" max="8718" width="14.140625" customWidth="1"/>
    <col min="8719" max="8719" width="1.85546875" customWidth="1"/>
    <col min="8720" max="8720" width="14.85546875" bestFit="1" customWidth="1"/>
    <col min="8961" max="8961" width="28" customWidth="1"/>
    <col min="8962" max="8962" width="0.140625" customWidth="1"/>
    <col min="8963" max="8974" width="14.140625" customWidth="1"/>
    <col min="8975" max="8975" width="1.85546875" customWidth="1"/>
    <col min="8976" max="8976" width="14.85546875" bestFit="1" customWidth="1"/>
    <col min="9217" max="9217" width="28" customWidth="1"/>
    <col min="9218" max="9218" width="0.140625" customWidth="1"/>
    <col min="9219" max="9230" width="14.140625" customWidth="1"/>
    <col min="9231" max="9231" width="1.85546875" customWidth="1"/>
    <col min="9232" max="9232" width="14.85546875" bestFit="1" customWidth="1"/>
    <col min="9473" max="9473" width="28" customWidth="1"/>
    <col min="9474" max="9474" width="0.140625" customWidth="1"/>
    <col min="9475" max="9486" width="14.140625" customWidth="1"/>
    <col min="9487" max="9487" width="1.85546875" customWidth="1"/>
    <col min="9488" max="9488" width="14.85546875" bestFit="1" customWidth="1"/>
    <col min="9729" max="9729" width="28" customWidth="1"/>
    <col min="9730" max="9730" width="0.140625" customWidth="1"/>
    <col min="9731" max="9742" width="14.140625" customWidth="1"/>
    <col min="9743" max="9743" width="1.85546875" customWidth="1"/>
    <col min="9744" max="9744" width="14.85546875" bestFit="1" customWidth="1"/>
    <col min="9985" max="9985" width="28" customWidth="1"/>
    <col min="9986" max="9986" width="0.140625" customWidth="1"/>
    <col min="9987" max="9998" width="14.140625" customWidth="1"/>
    <col min="9999" max="9999" width="1.85546875" customWidth="1"/>
    <col min="10000" max="10000" width="14.85546875" bestFit="1" customWidth="1"/>
    <col min="10241" max="10241" width="28" customWidth="1"/>
    <col min="10242" max="10242" width="0.140625" customWidth="1"/>
    <col min="10243" max="10254" width="14.140625" customWidth="1"/>
    <col min="10255" max="10255" width="1.85546875" customWidth="1"/>
    <col min="10256" max="10256" width="14.85546875" bestFit="1" customWidth="1"/>
    <col min="10497" max="10497" width="28" customWidth="1"/>
    <col min="10498" max="10498" width="0.140625" customWidth="1"/>
    <col min="10499" max="10510" width="14.140625" customWidth="1"/>
    <col min="10511" max="10511" width="1.85546875" customWidth="1"/>
    <col min="10512" max="10512" width="14.85546875" bestFit="1" customWidth="1"/>
    <col min="10753" max="10753" width="28" customWidth="1"/>
    <col min="10754" max="10754" width="0.140625" customWidth="1"/>
    <col min="10755" max="10766" width="14.140625" customWidth="1"/>
    <col min="10767" max="10767" width="1.85546875" customWidth="1"/>
    <col min="10768" max="10768" width="14.85546875" bestFit="1" customWidth="1"/>
    <col min="11009" max="11009" width="28" customWidth="1"/>
    <col min="11010" max="11010" width="0.140625" customWidth="1"/>
    <col min="11011" max="11022" width="14.140625" customWidth="1"/>
    <col min="11023" max="11023" width="1.85546875" customWidth="1"/>
    <col min="11024" max="11024" width="14.85546875" bestFit="1" customWidth="1"/>
    <col min="11265" max="11265" width="28" customWidth="1"/>
    <col min="11266" max="11266" width="0.140625" customWidth="1"/>
    <col min="11267" max="11278" width="14.140625" customWidth="1"/>
    <col min="11279" max="11279" width="1.85546875" customWidth="1"/>
    <col min="11280" max="11280" width="14.85546875" bestFit="1" customWidth="1"/>
    <col min="11521" max="11521" width="28" customWidth="1"/>
    <col min="11522" max="11522" width="0.140625" customWidth="1"/>
    <col min="11523" max="11534" width="14.140625" customWidth="1"/>
    <col min="11535" max="11535" width="1.85546875" customWidth="1"/>
    <col min="11536" max="11536" width="14.85546875" bestFit="1" customWidth="1"/>
    <col min="11777" max="11777" width="28" customWidth="1"/>
    <col min="11778" max="11778" width="0.140625" customWidth="1"/>
    <col min="11779" max="11790" width="14.140625" customWidth="1"/>
    <col min="11791" max="11791" width="1.85546875" customWidth="1"/>
    <col min="11792" max="11792" width="14.85546875" bestFit="1" customWidth="1"/>
    <col min="12033" max="12033" width="28" customWidth="1"/>
    <col min="12034" max="12034" width="0.140625" customWidth="1"/>
    <col min="12035" max="12046" width="14.140625" customWidth="1"/>
    <col min="12047" max="12047" width="1.85546875" customWidth="1"/>
    <col min="12048" max="12048" width="14.85546875" bestFit="1" customWidth="1"/>
    <col min="12289" max="12289" width="28" customWidth="1"/>
    <col min="12290" max="12290" width="0.140625" customWidth="1"/>
    <col min="12291" max="12302" width="14.140625" customWidth="1"/>
    <col min="12303" max="12303" width="1.85546875" customWidth="1"/>
    <col min="12304" max="12304" width="14.85546875" bestFit="1" customWidth="1"/>
    <col min="12545" max="12545" width="28" customWidth="1"/>
    <col min="12546" max="12546" width="0.140625" customWidth="1"/>
    <col min="12547" max="12558" width="14.140625" customWidth="1"/>
    <col min="12559" max="12559" width="1.85546875" customWidth="1"/>
    <col min="12560" max="12560" width="14.85546875" bestFit="1" customWidth="1"/>
    <col min="12801" max="12801" width="28" customWidth="1"/>
    <col min="12802" max="12802" width="0.140625" customWidth="1"/>
    <col min="12803" max="12814" width="14.140625" customWidth="1"/>
    <col min="12815" max="12815" width="1.85546875" customWidth="1"/>
    <col min="12816" max="12816" width="14.85546875" bestFit="1" customWidth="1"/>
    <col min="13057" max="13057" width="28" customWidth="1"/>
    <col min="13058" max="13058" width="0.140625" customWidth="1"/>
    <col min="13059" max="13070" width="14.140625" customWidth="1"/>
    <col min="13071" max="13071" width="1.85546875" customWidth="1"/>
    <col min="13072" max="13072" width="14.85546875" bestFit="1" customWidth="1"/>
    <col min="13313" max="13313" width="28" customWidth="1"/>
    <col min="13314" max="13314" width="0.140625" customWidth="1"/>
    <col min="13315" max="13326" width="14.140625" customWidth="1"/>
    <col min="13327" max="13327" width="1.85546875" customWidth="1"/>
    <col min="13328" max="13328" width="14.85546875" bestFit="1" customWidth="1"/>
    <col min="13569" max="13569" width="28" customWidth="1"/>
    <col min="13570" max="13570" width="0.140625" customWidth="1"/>
    <col min="13571" max="13582" width="14.140625" customWidth="1"/>
    <col min="13583" max="13583" width="1.85546875" customWidth="1"/>
    <col min="13584" max="13584" width="14.85546875" bestFit="1" customWidth="1"/>
    <col min="13825" max="13825" width="28" customWidth="1"/>
    <col min="13826" max="13826" width="0.140625" customWidth="1"/>
    <col min="13827" max="13838" width="14.140625" customWidth="1"/>
    <col min="13839" max="13839" width="1.85546875" customWidth="1"/>
    <col min="13840" max="13840" width="14.85546875" bestFit="1" customWidth="1"/>
    <col min="14081" max="14081" width="28" customWidth="1"/>
    <col min="14082" max="14082" width="0.140625" customWidth="1"/>
    <col min="14083" max="14094" width="14.140625" customWidth="1"/>
    <col min="14095" max="14095" width="1.85546875" customWidth="1"/>
    <col min="14096" max="14096" width="14.85546875" bestFit="1" customWidth="1"/>
    <col min="14337" max="14337" width="28" customWidth="1"/>
    <col min="14338" max="14338" width="0.140625" customWidth="1"/>
    <col min="14339" max="14350" width="14.140625" customWidth="1"/>
    <col min="14351" max="14351" width="1.85546875" customWidth="1"/>
    <col min="14352" max="14352" width="14.85546875" bestFit="1" customWidth="1"/>
    <col min="14593" max="14593" width="28" customWidth="1"/>
    <col min="14594" max="14594" width="0.140625" customWidth="1"/>
    <col min="14595" max="14606" width="14.140625" customWidth="1"/>
    <col min="14607" max="14607" width="1.85546875" customWidth="1"/>
    <col min="14608" max="14608" width="14.85546875" bestFit="1" customWidth="1"/>
    <col min="14849" max="14849" width="28" customWidth="1"/>
    <col min="14850" max="14850" width="0.140625" customWidth="1"/>
    <col min="14851" max="14862" width="14.140625" customWidth="1"/>
    <col min="14863" max="14863" width="1.85546875" customWidth="1"/>
    <col min="14864" max="14864" width="14.85546875" bestFit="1" customWidth="1"/>
    <col min="15105" max="15105" width="28" customWidth="1"/>
    <col min="15106" max="15106" width="0.140625" customWidth="1"/>
    <col min="15107" max="15118" width="14.140625" customWidth="1"/>
    <col min="15119" max="15119" width="1.85546875" customWidth="1"/>
    <col min="15120" max="15120" width="14.85546875" bestFit="1" customWidth="1"/>
    <col min="15361" max="15361" width="28" customWidth="1"/>
    <col min="15362" max="15362" width="0.140625" customWidth="1"/>
    <col min="15363" max="15374" width="14.140625" customWidth="1"/>
    <col min="15375" max="15375" width="1.85546875" customWidth="1"/>
    <col min="15376" max="15376" width="14.85546875" bestFit="1" customWidth="1"/>
    <col min="15617" max="15617" width="28" customWidth="1"/>
    <col min="15618" max="15618" width="0.140625" customWidth="1"/>
    <col min="15619" max="15630" width="14.140625" customWidth="1"/>
    <col min="15631" max="15631" width="1.85546875" customWidth="1"/>
    <col min="15632" max="15632" width="14.85546875" bestFit="1" customWidth="1"/>
    <col min="15873" max="15873" width="28" customWidth="1"/>
    <col min="15874" max="15874" width="0.140625" customWidth="1"/>
    <col min="15875" max="15886" width="14.140625" customWidth="1"/>
    <col min="15887" max="15887" width="1.85546875" customWidth="1"/>
    <col min="15888" max="15888" width="14.85546875" bestFit="1" customWidth="1"/>
    <col min="16129" max="16129" width="28" customWidth="1"/>
    <col min="16130" max="16130" width="0.140625" customWidth="1"/>
    <col min="16131" max="16142" width="14.140625" customWidth="1"/>
    <col min="16143" max="16143" width="1.85546875" customWidth="1"/>
    <col min="16144" max="16144" width="14.85546875" bestFit="1" customWidth="1"/>
  </cols>
  <sheetData>
    <row r="3" spans="1:31" x14ac:dyDescent="0.25">
      <c r="A3" s="349" t="s">
        <v>315</v>
      </c>
      <c r="B3" s="349"/>
      <c r="C3" s="349"/>
      <c r="D3" s="349"/>
      <c r="E3" s="349"/>
      <c r="F3" s="349"/>
      <c r="G3" s="349"/>
      <c r="H3" s="349"/>
      <c r="I3" s="349"/>
      <c r="J3" s="349"/>
      <c r="K3" s="349"/>
      <c r="L3" s="349"/>
      <c r="M3" s="349"/>
      <c r="N3" s="349"/>
      <c r="O3" s="349"/>
      <c r="P3" s="349"/>
    </row>
    <row r="4" spans="1:31" x14ac:dyDescent="0.25">
      <c r="A4" s="349"/>
      <c r="B4" s="349"/>
      <c r="C4" s="349"/>
      <c r="D4" s="349"/>
      <c r="E4" s="349"/>
      <c r="F4" s="349"/>
      <c r="G4" s="349"/>
      <c r="H4" s="349"/>
      <c r="I4" s="349"/>
      <c r="J4" s="349"/>
      <c r="K4" s="349"/>
      <c r="L4" s="349"/>
      <c r="M4" s="349"/>
      <c r="N4" s="349"/>
      <c r="O4" s="349"/>
      <c r="P4" s="349"/>
    </row>
    <row r="5" spans="1:31" x14ac:dyDescent="0.25">
      <c r="A5" s="12"/>
      <c r="B5" s="12"/>
      <c r="C5" s="12"/>
      <c r="D5" s="12"/>
      <c r="E5" s="12"/>
      <c r="F5" s="12"/>
      <c r="G5" s="12"/>
      <c r="H5" s="12"/>
      <c r="I5" s="12"/>
      <c r="J5" s="12"/>
      <c r="K5" s="12"/>
      <c r="L5" s="12"/>
      <c r="M5" s="12"/>
      <c r="N5" s="12"/>
      <c r="O5" s="12"/>
      <c r="P5" s="13"/>
    </row>
    <row r="6" spans="1:31" x14ac:dyDescent="0.25">
      <c r="A6" s="66"/>
      <c r="C6" s="15" t="s">
        <v>20</v>
      </c>
      <c r="D6" s="15"/>
      <c r="E6" s="15"/>
      <c r="F6" s="15"/>
      <c r="G6" s="15"/>
      <c r="H6" s="15"/>
      <c r="I6" s="15"/>
      <c r="J6" s="15"/>
      <c r="K6" s="15"/>
      <c r="L6" s="15"/>
      <c r="M6" s="15"/>
      <c r="N6" s="15"/>
      <c r="O6" s="15"/>
      <c r="P6" s="15"/>
    </row>
    <row r="7" spans="1:31" x14ac:dyDescent="0.25">
      <c r="A7" s="67"/>
      <c r="C7" s="17"/>
      <c r="D7" s="18">
        <v>2</v>
      </c>
      <c r="E7" s="18">
        <v>3</v>
      </c>
      <c r="F7" s="18">
        <v>4</v>
      </c>
      <c r="G7" s="18">
        <v>5</v>
      </c>
      <c r="H7" s="18">
        <v>6</v>
      </c>
      <c r="I7" s="18">
        <v>7</v>
      </c>
      <c r="J7" s="18">
        <v>8</v>
      </c>
      <c r="K7" s="18">
        <v>9</v>
      </c>
      <c r="L7" s="18">
        <v>10</v>
      </c>
      <c r="M7" s="18">
        <v>11</v>
      </c>
      <c r="N7" s="18">
        <v>12</v>
      </c>
      <c r="O7" s="19"/>
    </row>
    <row r="8" spans="1:31" x14ac:dyDescent="0.25">
      <c r="A8" s="21"/>
      <c r="B8" s="21"/>
      <c r="C8" s="22" t="s">
        <v>21</v>
      </c>
      <c r="D8" s="22" t="s">
        <v>22</v>
      </c>
      <c r="E8" s="22" t="s">
        <v>23</v>
      </c>
      <c r="F8" s="22" t="s">
        <v>24</v>
      </c>
      <c r="G8" s="22" t="s">
        <v>25</v>
      </c>
      <c r="H8" s="22" t="s">
        <v>26</v>
      </c>
      <c r="I8" s="22" t="s">
        <v>27</v>
      </c>
      <c r="J8" s="22" t="s">
        <v>28</v>
      </c>
      <c r="K8" s="22" t="s">
        <v>29</v>
      </c>
      <c r="L8" s="22" t="s">
        <v>30</v>
      </c>
      <c r="M8" s="22" t="s">
        <v>31</v>
      </c>
      <c r="N8" s="22" t="s">
        <v>32</v>
      </c>
      <c r="O8" s="23"/>
      <c r="P8" s="350" t="s">
        <v>316</v>
      </c>
    </row>
    <row r="9" spans="1:31" x14ac:dyDescent="0.25">
      <c r="A9" s="55"/>
      <c r="B9" s="21"/>
      <c r="C9" s="25"/>
      <c r="D9" s="25"/>
      <c r="E9" s="25"/>
      <c r="F9" s="25"/>
      <c r="G9" s="25"/>
      <c r="H9" s="25"/>
      <c r="I9" s="25"/>
      <c r="J9" s="25"/>
      <c r="K9" s="25"/>
      <c r="L9" s="25"/>
      <c r="M9" s="25"/>
      <c r="N9" s="25"/>
      <c r="O9" s="23"/>
      <c r="P9" s="24"/>
    </row>
    <row r="10" spans="1:31" s="47" customFormat="1" ht="15.75" thickBot="1" x14ac:dyDescent="0.3">
      <c r="A10" s="342" t="s">
        <v>33</v>
      </c>
      <c r="C10" s="343">
        <v>30000</v>
      </c>
      <c r="D10" s="343">
        <v>40000</v>
      </c>
      <c r="E10" s="343">
        <v>90000</v>
      </c>
      <c r="F10" s="343">
        <v>120000</v>
      </c>
      <c r="G10" s="343">
        <v>30000</v>
      </c>
      <c r="H10" s="343">
        <v>40000</v>
      </c>
      <c r="I10" s="343">
        <v>30000</v>
      </c>
      <c r="J10" s="343">
        <v>75000</v>
      </c>
      <c r="K10" s="343">
        <v>30000</v>
      </c>
      <c r="L10" s="343">
        <v>46123</v>
      </c>
      <c r="M10" s="343">
        <v>30000</v>
      </c>
      <c r="N10" s="343">
        <v>74521</v>
      </c>
      <c r="O10" s="344"/>
      <c r="P10" s="57"/>
      <c r="S10" s="58"/>
    </row>
    <row r="11" spans="1:31" s="347" customFormat="1" ht="15.75" thickBot="1" x14ac:dyDescent="0.3">
      <c r="A11" s="68" t="s">
        <v>34</v>
      </c>
      <c r="B11" s="71"/>
      <c r="C11" s="345">
        <f t="shared" ref="C11:N11" si="0">C10+B11+C9</f>
        <v>30000</v>
      </c>
      <c r="D11" s="345">
        <f t="shared" si="0"/>
        <v>70000</v>
      </c>
      <c r="E11" s="345">
        <f t="shared" si="0"/>
        <v>160000</v>
      </c>
      <c r="F11" s="345">
        <f t="shared" si="0"/>
        <v>280000</v>
      </c>
      <c r="G11" s="345">
        <f t="shared" si="0"/>
        <v>310000</v>
      </c>
      <c r="H11" s="345">
        <f t="shared" si="0"/>
        <v>350000</v>
      </c>
      <c r="I11" s="345">
        <f t="shared" si="0"/>
        <v>380000</v>
      </c>
      <c r="J11" s="345">
        <f t="shared" si="0"/>
        <v>455000</v>
      </c>
      <c r="K11" s="345">
        <f t="shared" si="0"/>
        <v>485000</v>
      </c>
      <c r="L11" s="345">
        <f t="shared" si="0"/>
        <v>531123</v>
      </c>
      <c r="M11" s="345">
        <f t="shared" si="0"/>
        <v>561123</v>
      </c>
      <c r="N11" s="345">
        <f t="shared" si="0"/>
        <v>635644</v>
      </c>
      <c r="O11" s="73"/>
      <c r="P11" s="346">
        <f>N11</f>
        <v>635644</v>
      </c>
      <c r="Q11" s="59"/>
      <c r="R11" s="59"/>
      <c r="S11" s="60"/>
      <c r="T11" s="59"/>
      <c r="U11" s="59"/>
      <c r="V11" s="59"/>
      <c r="W11" s="59"/>
      <c r="X11" s="59"/>
      <c r="Y11" s="59"/>
      <c r="Z11" s="59"/>
      <c r="AA11" s="59"/>
      <c r="AB11" s="59"/>
      <c r="AC11" s="59"/>
      <c r="AD11" s="59"/>
    </row>
    <row r="12" spans="1:31" x14ac:dyDescent="0.25">
      <c r="A12" s="63"/>
      <c r="C12" s="26"/>
      <c r="D12" s="26"/>
      <c r="E12" s="26"/>
      <c r="F12" s="26"/>
      <c r="G12" s="26"/>
      <c r="H12" s="26"/>
      <c r="I12" s="26"/>
      <c r="J12" s="26"/>
      <c r="K12" s="26"/>
      <c r="L12" s="26"/>
      <c r="M12" s="26"/>
      <c r="N12" s="26"/>
      <c r="O12" s="27"/>
      <c r="P12" s="28"/>
      <c r="AD12" s="20" t="s">
        <v>35</v>
      </c>
      <c r="AE12">
        <v>101.29</v>
      </c>
    </row>
    <row r="13" spans="1:31" hidden="1" x14ac:dyDescent="0.25">
      <c r="A13" s="37" t="s">
        <v>37</v>
      </c>
      <c r="B13">
        <v>502</v>
      </c>
      <c r="C13" s="31">
        <v>0</v>
      </c>
      <c r="D13" s="31"/>
      <c r="E13" s="31"/>
      <c r="F13" s="31"/>
      <c r="G13" s="31"/>
      <c r="H13" s="31"/>
      <c r="I13" s="31"/>
      <c r="J13" s="31"/>
      <c r="K13" s="31"/>
      <c r="L13" s="31"/>
      <c r="M13" s="31"/>
      <c r="N13" s="31"/>
      <c r="O13" s="27"/>
      <c r="P13" s="28">
        <f>SUM(C13:N13)</f>
        <v>0</v>
      </c>
      <c r="S13" s="46"/>
    </row>
    <row r="14" spans="1:31" x14ac:dyDescent="0.25">
      <c r="A14" s="37" t="s">
        <v>54</v>
      </c>
      <c r="B14">
        <v>560</v>
      </c>
      <c r="C14" s="31">
        <f>'INVERSION DEDUCCIONES'!J3+'INVERSION DEDUCCIONES'!J13+'INVERSION DEDUCCIONES'!J23</f>
        <v>6354.166666666667</v>
      </c>
      <c r="D14" s="31">
        <v>6354.166666666667</v>
      </c>
      <c r="E14" s="31">
        <v>6354.166666666667</v>
      </c>
      <c r="F14" s="31">
        <v>6354.166666666667</v>
      </c>
      <c r="G14" s="31">
        <v>6354.166666666667</v>
      </c>
      <c r="H14" s="31">
        <v>6354.166666666667</v>
      </c>
      <c r="I14" s="31">
        <v>6354.166666666667</v>
      </c>
      <c r="J14" s="31">
        <v>6354.166666666667</v>
      </c>
      <c r="K14" s="31">
        <v>6354.166666666667</v>
      </c>
      <c r="L14" s="31">
        <v>6354.166666666667</v>
      </c>
      <c r="M14" s="31">
        <v>6354.166666666667</v>
      </c>
      <c r="N14" s="31">
        <v>6354.166666666667</v>
      </c>
      <c r="O14" s="27"/>
      <c r="P14" s="28"/>
    </row>
    <row r="15" spans="1:31" x14ac:dyDescent="0.25">
      <c r="A15" s="37" t="s">
        <v>38</v>
      </c>
      <c r="C15" s="26">
        <v>7500</v>
      </c>
      <c r="D15" s="26">
        <v>10000</v>
      </c>
      <c r="E15" s="26">
        <v>7500</v>
      </c>
      <c r="F15" s="26">
        <v>10000</v>
      </c>
      <c r="G15" s="26">
        <v>7500</v>
      </c>
      <c r="H15" s="26">
        <v>15000</v>
      </c>
      <c r="I15" s="26">
        <v>7500</v>
      </c>
      <c r="J15" s="26">
        <v>7500</v>
      </c>
      <c r="K15" s="26">
        <v>7500</v>
      </c>
      <c r="L15" s="26">
        <v>7500</v>
      </c>
      <c r="M15" s="26">
        <v>7500</v>
      </c>
      <c r="N15" s="26">
        <v>7500</v>
      </c>
      <c r="O15" s="27"/>
      <c r="P15" s="34"/>
    </row>
    <row r="16" spans="1:31" s="20" customFormat="1" ht="15.75" thickBot="1" x14ac:dyDescent="0.3">
      <c r="A16" s="45" t="s">
        <v>39</v>
      </c>
      <c r="C16" s="34">
        <v>15000</v>
      </c>
      <c r="D16" s="34">
        <v>20000</v>
      </c>
      <c r="E16" s="34">
        <v>35000</v>
      </c>
      <c r="F16" s="34">
        <v>15000</v>
      </c>
      <c r="G16" s="34">
        <v>15000</v>
      </c>
      <c r="H16" s="34">
        <v>10000</v>
      </c>
      <c r="I16" s="34">
        <v>15000</v>
      </c>
      <c r="J16" s="34">
        <v>15000</v>
      </c>
      <c r="K16" s="34">
        <v>15000</v>
      </c>
      <c r="L16" s="34">
        <v>15000</v>
      </c>
      <c r="M16" s="34">
        <v>15000</v>
      </c>
      <c r="N16" s="34">
        <v>15000</v>
      </c>
      <c r="O16" s="348"/>
      <c r="P16" s="34"/>
    </row>
    <row r="17" spans="1:30" s="44" customFormat="1" ht="15.75" thickBot="1" x14ac:dyDescent="0.3">
      <c r="A17" s="69" t="s">
        <v>40</v>
      </c>
      <c r="B17" s="71"/>
      <c r="C17" s="345">
        <f>C15+C13+C14+C16</f>
        <v>28854.166666666668</v>
      </c>
      <c r="D17" s="345">
        <f>D15+D14+C17+D13+D16</f>
        <v>65208.333333333336</v>
      </c>
      <c r="E17" s="345">
        <f>E15+E14+D17+E13+E16</f>
        <v>114062.5</v>
      </c>
      <c r="F17" s="345">
        <f>F15+F14+E17+F13+F16</f>
        <v>145416.66666666669</v>
      </c>
      <c r="G17" s="345">
        <f>G15+G14+F17+G13+G16</f>
        <v>174270.83333333334</v>
      </c>
      <c r="H17" s="345">
        <f>H15+H14+G17+H13+H16</f>
        <v>205625</v>
      </c>
      <c r="I17" s="345">
        <f>I15+I14+H17+I13+I16</f>
        <v>234479.16666666666</v>
      </c>
      <c r="J17" s="345">
        <f>J15+J14+I17+J13+J16</f>
        <v>263333.33333333331</v>
      </c>
      <c r="K17" s="345">
        <f>K15+K14+J17+K13+K16</f>
        <v>292187.5</v>
      </c>
      <c r="L17" s="345">
        <f>L15+L14+K17+L13+L16</f>
        <v>321041.66666666669</v>
      </c>
      <c r="M17" s="345">
        <f>M15+M14+L17+M13+M16</f>
        <v>349895.83333333337</v>
      </c>
      <c r="N17" s="345">
        <f>N15+N14+M17+N13+N16</f>
        <v>378750.00000000006</v>
      </c>
      <c r="O17" s="73"/>
      <c r="P17" s="346">
        <f>N17</f>
        <v>378750.00000000006</v>
      </c>
      <c r="Q17" s="28"/>
      <c r="R17" s="20"/>
      <c r="S17" s="20"/>
      <c r="T17" s="20"/>
      <c r="U17" s="20"/>
      <c r="V17" s="20"/>
      <c r="W17" s="20"/>
      <c r="X17" s="20"/>
      <c r="Y17" s="20"/>
      <c r="Z17" s="20"/>
      <c r="AA17" s="20"/>
      <c r="AB17" s="20"/>
      <c r="AC17" s="20"/>
      <c r="AD17" s="20"/>
    </row>
    <row r="18" spans="1:30" x14ac:dyDescent="0.25">
      <c r="A18" s="64"/>
      <c r="C18" s="26"/>
      <c r="D18" s="26"/>
      <c r="E18" s="26"/>
      <c r="F18" s="26"/>
      <c r="G18" s="26"/>
      <c r="H18" s="26"/>
      <c r="I18" s="26"/>
      <c r="J18" s="26"/>
      <c r="K18" s="26"/>
      <c r="L18" s="26"/>
      <c r="M18" s="26"/>
      <c r="N18" s="26"/>
      <c r="O18" s="27"/>
      <c r="P18" s="33"/>
      <c r="Q18" s="28"/>
    </row>
    <row r="19" spans="1:30" x14ac:dyDescent="0.25">
      <c r="A19" s="37" t="s">
        <v>41</v>
      </c>
      <c r="C19" s="26">
        <v>0</v>
      </c>
      <c r="D19" s="26">
        <v>0</v>
      </c>
      <c r="E19" s="26">
        <v>0</v>
      </c>
      <c r="F19" s="26">
        <v>0</v>
      </c>
      <c r="G19" s="26">
        <v>0</v>
      </c>
      <c r="H19" s="26">
        <v>0</v>
      </c>
      <c r="I19" s="26">
        <v>0</v>
      </c>
      <c r="J19" s="26">
        <v>0</v>
      </c>
      <c r="K19" s="26">
        <v>0</v>
      </c>
      <c r="L19" s="26">
        <v>0</v>
      </c>
      <c r="M19" s="26">
        <v>0</v>
      </c>
      <c r="N19" s="26">
        <v>0</v>
      </c>
      <c r="O19" s="27"/>
      <c r="P19" s="33">
        <f>SUM(B19:N19)</f>
        <v>0</v>
      </c>
      <c r="Q19" s="28"/>
    </row>
    <row r="20" spans="1:30" x14ac:dyDescent="0.25">
      <c r="A20" s="37" t="s">
        <v>42</v>
      </c>
      <c r="C20" s="26">
        <v>0</v>
      </c>
      <c r="D20" s="26">
        <v>0</v>
      </c>
      <c r="E20" s="26">
        <v>0</v>
      </c>
      <c r="F20" s="26">
        <v>0</v>
      </c>
      <c r="G20" s="26">
        <v>0</v>
      </c>
      <c r="H20" s="26">
        <v>0</v>
      </c>
      <c r="I20" s="26">
        <v>0</v>
      </c>
      <c r="J20" s="26">
        <f>I20</f>
        <v>0</v>
      </c>
      <c r="K20" s="26">
        <f>J20</f>
        <v>0</v>
      </c>
      <c r="L20" s="26">
        <f>K20</f>
        <v>0</v>
      </c>
      <c r="M20" s="26">
        <f>L20</f>
        <v>0</v>
      </c>
      <c r="N20" s="26">
        <f>M20</f>
        <v>0</v>
      </c>
      <c r="O20" s="27"/>
      <c r="P20" s="33">
        <f>SUM(B20:N20)</f>
        <v>0</v>
      </c>
    </row>
    <row r="21" spans="1:30" ht="15.75" thickBot="1" x14ac:dyDescent="0.3">
      <c r="A21" s="63"/>
      <c r="C21" s="26"/>
      <c r="D21" s="26"/>
      <c r="E21" s="26"/>
      <c r="F21" s="26"/>
      <c r="G21" s="26"/>
      <c r="H21" s="26"/>
      <c r="I21" s="26"/>
      <c r="J21" s="26"/>
      <c r="K21" s="26"/>
      <c r="L21" s="26"/>
      <c r="M21" s="26"/>
      <c r="N21" s="26"/>
      <c r="O21" s="27"/>
      <c r="P21" s="33"/>
    </row>
    <row r="22" spans="1:30" s="44" customFormat="1" ht="15.75" thickBot="1" x14ac:dyDescent="0.3">
      <c r="A22" s="69" t="s">
        <v>43</v>
      </c>
      <c r="B22" s="71"/>
      <c r="C22" s="72">
        <f>IF((C11-C17-C19-C20)&gt;0,(C11-C17-C19-C20),0)</f>
        <v>1145.8333333333321</v>
      </c>
      <c r="D22" s="72">
        <f>D11-D17</f>
        <v>4791.6666666666642</v>
      </c>
      <c r="E22" s="72">
        <f>IF((E11-E17-E20)&gt;0,(E11-E17-E20),0)</f>
        <v>45937.5</v>
      </c>
      <c r="F22" s="72">
        <f>IF((F11-F17-F20)&gt;0,(F11-F17-F20),0)</f>
        <v>134583.33333333331</v>
      </c>
      <c r="G22" s="72">
        <f>IF((G11-G17-G20)&gt;0,(G11-G17-G20),0)</f>
        <v>135729.16666666666</v>
      </c>
      <c r="H22" s="72">
        <f>IF((H11-H17-H20)&gt;0,(H11-H17-H20),0)</f>
        <v>144375</v>
      </c>
      <c r="I22" s="72">
        <f>IF((I11-I17-I20)&gt;0,(I11-I17-I20),0)</f>
        <v>145520.83333333334</v>
      </c>
      <c r="J22" s="72">
        <f>IF((J11-J17-J20)&gt;0,(J11-J17-J20),0)</f>
        <v>191666.66666666669</v>
      </c>
      <c r="K22" s="72">
        <f>IF((K11-K17-K20)&gt;0,(K11-K17-K20),0)</f>
        <v>192812.5</v>
      </c>
      <c r="L22" s="72">
        <f>IF((L11-L17-L20)&gt;0,(L11-L17-L20),0)</f>
        <v>210081.33333333331</v>
      </c>
      <c r="M22" s="72">
        <f>IF((M11-M17-M20)&gt;0,(M11-M17-M20),0)</f>
        <v>211227.16666666663</v>
      </c>
      <c r="N22" s="72">
        <f>IF((N11-N17-N20)&gt;0,(N11-N17-N20),0)</f>
        <v>256893.99999999994</v>
      </c>
      <c r="O22" s="73"/>
      <c r="P22" s="74">
        <f>P11-P17-P19-P20</f>
        <v>256893.99999999994</v>
      </c>
      <c r="Q22" s="28"/>
      <c r="R22" s="20"/>
      <c r="S22" s="20"/>
      <c r="T22" s="20"/>
      <c r="U22" s="20"/>
      <c r="V22" s="20"/>
      <c r="W22" s="20"/>
      <c r="X22" s="20"/>
      <c r="Y22" s="20"/>
      <c r="Z22" s="20"/>
      <c r="AA22" s="20"/>
      <c r="AB22" s="20"/>
      <c r="AC22" s="20"/>
      <c r="AD22" s="20"/>
    </row>
    <row r="23" spans="1:30" x14ac:dyDescent="0.25">
      <c r="A23" s="63"/>
      <c r="C23" s="26"/>
      <c r="D23" s="26"/>
      <c r="E23" s="26"/>
      <c r="F23" s="26"/>
      <c r="G23" s="26"/>
      <c r="H23" s="26"/>
      <c r="I23" s="26"/>
      <c r="J23" s="26"/>
      <c r="K23" s="26"/>
      <c r="L23" s="26"/>
      <c r="M23" s="26"/>
      <c r="N23" s="26"/>
      <c r="O23" s="27"/>
      <c r="P23" s="34"/>
    </row>
    <row r="24" spans="1:30" s="49" customFormat="1" x14ac:dyDescent="0.25">
      <c r="A24" s="48" t="s">
        <v>44</v>
      </c>
      <c r="C24" s="50">
        <f>VLOOKUP(C22,'TARIFAS ANEXO 8'!B8:E18,1,1)</f>
        <v>764.05</v>
      </c>
      <c r="D24" s="50">
        <f>VLOOKUP(D22,'TARIFAS ANEXO 8'!G8:J18,1,1)</f>
        <v>1492.09</v>
      </c>
      <c r="E24" s="50">
        <f>VLOOKUP(E22,'TARIFAS ANEXO 8'!B26:E36,1,1)</f>
        <v>38807.47</v>
      </c>
      <c r="F24" s="50">
        <f>VLOOKUP(F22,'TARIFAS ANEXO 8'!G26:J36,1,1)</f>
        <v>124945.97</v>
      </c>
      <c r="G24" s="50">
        <f>VLOOKUP(G22,'TARIFAS ANEXO 8'!B44:E54,1,1)</f>
        <v>77438.559999999983</v>
      </c>
      <c r="H24" s="50">
        <f>VLOOKUP(H22,'TARIFAS ANEXO 8'!G44:J54,1,1)</f>
        <v>92926.26999999999</v>
      </c>
      <c r="I24" s="50">
        <f>VLOOKUP(I22,'TARIFAS ANEXO 8'!B58:E68,1,1)</f>
        <v>108413.98</v>
      </c>
      <c r="J24" s="50">
        <f>VLOOKUP(J22,'TARIFAS ANEXO 8'!G58:J68,1,1)</f>
        <v>123901.68999999999</v>
      </c>
      <c r="K24" s="50">
        <f>VLOOKUP(K22,'TARIFAS ANEXO 8'!B76:E86,1,1)</f>
        <v>139389.4</v>
      </c>
      <c r="L24" s="50">
        <f>VLOOKUP(L22,'TARIFAS ANEXO 8'!G76:J86,1,1)</f>
        <v>154877.10999999999</v>
      </c>
      <c r="M24" s="50">
        <f>VLOOKUP(M22,'TARIFAS ANEXO 8'!B94:E104,1,1)</f>
        <v>170364.82</v>
      </c>
      <c r="N24" s="50">
        <f>VLOOKUP(N22,'TARIFAS ANEXO 8'!G94:J104,1,1)</f>
        <v>185852.53</v>
      </c>
      <c r="O24" s="51"/>
      <c r="P24" s="50">
        <f>VLOOKUP(P22,'TARIFAS ANEXO 8'!$D$117:$G$127,1,1)</f>
        <v>185852.53</v>
      </c>
    </row>
    <row r="25" spans="1:30" x14ac:dyDescent="0.25">
      <c r="A25" s="63"/>
      <c r="C25" s="26"/>
      <c r="D25" s="26"/>
      <c r="E25" s="26"/>
      <c r="F25" s="26"/>
      <c r="G25" s="26"/>
      <c r="H25" s="26"/>
      <c r="I25" s="26"/>
      <c r="J25" s="26"/>
      <c r="K25" s="26"/>
      <c r="L25" s="26"/>
      <c r="M25" s="26"/>
      <c r="N25" s="26"/>
      <c r="O25" s="27"/>
      <c r="P25" s="34"/>
    </row>
    <row r="26" spans="1:30" ht="15.75" thickBot="1" x14ac:dyDescent="0.3">
      <c r="A26" s="63" t="s">
        <v>45</v>
      </c>
      <c r="C26" s="35">
        <f t="shared" ref="C26:N26" si="1">C22-C24</f>
        <v>381.78333333333217</v>
      </c>
      <c r="D26" s="35">
        <f t="shared" si="1"/>
        <v>3299.5766666666641</v>
      </c>
      <c r="E26" s="35">
        <f t="shared" si="1"/>
        <v>7130.0299999999988</v>
      </c>
      <c r="F26" s="35">
        <f t="shared" si="1"/>
        <v>9637.3633333333128</v>
      </c>
      <c r="G26" s="35">
        <f t="shared" si="1"/>
        <v>58290.606666666674</v>
      </c>
      <c r="H26" s="35">
        <f t="shared" si="1"/>
        <v>51448.73000000001</v>
      </c>
      <c r="I26" s="35">
        <f t="shared" si="1"/>
        <v>37106.853333333347</v>
      </c>
      <c r="J26" s="35">
        <f t="shared" si="1"/>
        <v>67764.976666666698</v>
      </c>
      <c r="K26" s="35">
        <f t="shared" si="1"/>
        <v>53423.100000000006</v>
      </c>
      <c r="L26" s="35">
        <f t="shared" si="1"/>
        <v>55204.223333333328</v>
      </c>
      <c r="M26" s="35">
        <f t="shared" si="1"/>
        <v>40862.346666666621</v>
      </c>
      <c r="N26" s="35">
        <f t="shared" si="1"/>
        <v>71041.469999999943</v>
      </c>
      <c r="O26" s="27"/>
      <c r="P26" s="36">
        <f>P22-P24</f>
        <v>71041.469999999943</v>
      </c>
    </row>
    <row r="27" spans="1:30" ht="15.75" thickTop="1" x14ac:dyDescent="0.25">
      <c r="A27" s="63"/>
      <c r="C27" s="26"/>
      <c r="D27" s="26"/>
      <c r="E27" s="26"/>
      <c r="F27" s="26"/>
      <c r="G27" s="26"/>
      <c r="H27" s="26"/>
      <c r="I27" s="26"/>
      <c r="J27" s="26"/>
      <c r="K27" s="26"/>
      <c r="L27" s="26"/>
      <c r="M27" s="26"/>
      <c r="N27" s="26"/>
      <c r="O27" s="27"/>
      <c r="P27" s="34"/>
    </row>
    <row r="28" spans="1:30" s="49" customFormat="1" ht="15.75" x14ac:dyDescent="0.25">
      <c r="A28" s="48" t="s">
        <v>46</v>
      </c>
      <c r="C28" s="52">
        <f>VLOOKUP(C22,'TARIFAS ANEXO 8'!B8:E18,4,1)</f>
        <v>6.4000000000000001E-2</v>
      </c>
      <c r="D28" s="53">
        <f>VLOOKUP(D22,'TARIFAS ANEXO 8'!G8:J18,4,1)</f>
        <v>6.4000000000000001E-2</v>
      </c>
      <c r="E28" s="52">
        <f>VLOOKUP(E22,'TARIFAS ANEXO 8'!B26:E36,4,1)</f>
        <v>0.17920000000000003</v>
      </c>
      <c r="F28" s="52">
        <f>VLOOKUP(F22,'TARIFAS ANEXO 8'!G26:J36,4,1)</f>
        <v>0.23519999999999999</v>
      </c>
      <c r="G28" s="52">
        <f>VLOOKUP(G22,'TARIFAS ANEXO 8'!B44:E54,4,1)</f>
        <v>0.21359999999999998</v>
      </c>
      <c r="H28" s="52">
        <f>VLOOKUP(H22,'TARIFAS ANEXO 8'!G44:J54,4,1)</f>
        <v>0.21359999999999998</v>
      </c>
      <c r="I28" s="52">
        <f>VLOOKUP(I22,'TARIFAS ANEXO 8'!B58:E68,4,1)</f>
        <v>0.21359999999999998</v>
      </c>
      <c r="J28" s="52">
        <f>VLOOKUP(J22,'TARIFAS ANEXO 8'!G58:J68,4,1)</f>
        <v>0.21359999999999998</v>
      </c>
      <c r="K28" s="52">
        <f>VLOOKUP(K22,'TARIFAS ANEXO 8'!B76:E86,4,1)</f>
        <v>0.21359999999999998</v>
      </c>
      <c r="L28" s="52">
        <f>VLOOKUP(L22,'TARIFAS ANEXO 8'!G76:J86,4,1)</f>
        <v>0.21359999999999998</v>
      </c>
      <c r="M28" s="52">
        <f>VLOOKUP(M22,'TARIFAS ANEXO 8'!B94:E104,4,1)</f>
        <v>0.21359999999999998</v>
      </c>
      <c r="N28" s="52">
        <f>VLOOKUP(N22,'TARIFAS ANEXO 8'!G94:J104,4,1)</f>
        <v>0.21359999999999998</v>
      </c>
      <c r="O28" s="54"/>
      <c r="P28" s="52">
        <f>VLOOKUP(P22,'TARIFAS ANEXO 8'!$D$117:$G$127,4,1)</f>
        <v>0.21359999999999998</v>
      </c>
    </row>
    <row r="29" spans="1:30" x14ac:dyDescent="0.25">
      <c r="A29" s="63"/>
      <c r="C29" s="34"/>
      <c r="D29" s="34"/>
      <c r="E29" s="34"/>
      <c r="F29" s="26"/>
      <c r="G29" s="26"/>
      <c r="H29" s="26"/>
      <c r="I29" s="26"/>
      <c r="J29" s="26"/>
      <c r="K29" s="26"/>
      <c r="L29" s="26"/>
      <c r="M29" s="26"/>
      <c r="N29" s="26"/>
      <c r="O29" s="27"/>
      <c r="P29" s="34"/>
    </row>
    <row r="30" spans="1:30" ht="15.75" thickBot="1" x14ac:dyDescent="0.3">
      <c r="A30" s="37" t="s">
        <v>47</v>
      </c>
      <c r="C30" s="36">
        <f t="shared" ref="C30:N30" si="2">C26*C28</f>
        <v>24.434133333333261</v>
      </c>
      <c r="D30" s="36">
        <f t="shared" si="2"/>
        <v>211.17290666666651</v>
      </c>
      <c r="E30" s="36">
        <f t="shared" si="2"/>
        <v>1277.701376</v>
      </c>
      <c r="F30" s="35">
        <f t="shared" si="2"/>
        <v>2266.707855999995</v>
      </c>
      <c r="G30" s="35">
        <f t="shared" si="2"/>
        <v>12450.873584000001</v>
      </c>
      <c r="H30" s="35">
        <f t="shared" si="2"/>
        <v>10989.448728000001</v>
      </c>
      <c r="I30" s="35">
        <f t="shared" si="2"/>
        <v>7926.0238720000025</v>
      </c>
      <c r="J30" s="35">
        <f t="shared" si="2"/>
        <v>14474.599016000006</v>
      </c>
      <c r="K30" s="35">
        <f t="shared" si="2"/>
        <v>11411.17416</v>
      </c>
      <c r="L30" s="35">
        <f t="shared" si="2"/>
        <v>11791.622103999998</v>
      </c>
      <c r="M30" s="35">
        <f t="shared" si="2"/>
        <v>8728.1972479999895</v>
      </c>
      <c r="N30" s="35">
        <f t="shared" si="2"/>
        <v>15174.457991999987</v>
      </c>
      <c r="O30" s="27"/>
      <c r="P30" s="36">
        <f>P26*P28</f>
        <v>15174.457991999987</v>
      </c>
    </row>
    <row r="31" spans="1:30" ht="15.75" thickTop="1" x14ac:dyDescent="0.25">
      <c r="A31" s="63"/>
      <c r="C31" s="34"/>
      <c r="D31" s="34"/>
      <c r="E31" s="34"/>
      <c r="F31" s="26"/>
      <c r="G31" s="26"/>
      <c r="H31" s="26"/>
      <c r="I31" s="26"/>
      <c r="J31" s="26"/>
      <c r="K31" s="26"/>
      <c r="L31" s="26"/>
      <c r="M31" s="26"/>
      <c r="N31" s="26"/>
      <c r="O31" s="27"/>
      <c r="P31" s="34"/>
    </row>
    <row r="32" spans="1:30" s="49" customFormat="1" x14ac:dyDescent="0.25">
      <c r="A32" s="48" t="s">
        <v>48</v>
      </c>
      <c r="C32" s="50">
        <f>VLOOKUP(C22,'TARIFAS ANEXO 8'!B8:E18,3,1)</f>
        <v>14.32</v>
      </c>
      <c r="D32" s="50">
        <f>VLOOKUP(D22,'TARIFAS ANEXO 8'!G8:J18,3,1)</f>
        <v>28.64</v>
      </c>
      <c r="E32" s="50">
        <f>VLOOKUP(E22,'TARIFAS ANEXO 8'!B26:E36,3,1)</f>
        <v>3548.6400000000003</v>
      </c>
      <c r="F32" s="50">
        <f>VLOOKUP(F22,'TARIFAS ANEXO 8'!G26:J36,3,1)</f>
        <v>20016.48</v>
      </c>
      <c r="G32" s="50">
        <f>VLOOKUP(G22,'TARIFAS ANEXO 8'!B44:E54,3,1)</f>
        <v>8200.9</v>
      </c>
      <c r="H32" s="50">
        <f>VLOOKUP(H22,'TARIFAS ANEXO 8'!G44:J54,3,1)</f>
        <v>9841.08</v>
      </c>
      <c r="I32" s="50">
        <f>VLOOKUP(I22,'TARIFAS ANEXO 8'!B58:E68,3,1)</f>
        <v>11481.26</v>
      </c>
      <c r="J32" s="50">
        <f>VLOOKUP(J22,'TARIFAS ANEXO 8'!G58:J68,3,1)</f>
        <v>13121.44</v>
      </c>
      <c r="K32" s="50">
        <f>VLOOKUP(K22,'TARIFAS ANEXO 8'!B76:E86,3,1)</f>
        <v>14761.62</v>
      </c>
      <c r="L32" s="50">
        <f>VLOOKUP(L22,'TARIFAS ANEXO 8'!G76:J86,3,1)</f>
        <v>16401.8</v>
      </c>
      <c r="M32" s="50">
        <f>VLOOKUP(M22,'TARIFAS ANEXO 8'!B94:E105,3,1)</f>
        <v>18041.98</v>
      </c>
      <c r="N32" s="50">
        <f>VLOOKUP(N22,'TARIFAS ANEXO 8'!G94:J105,3,1)</f>
        <v>19682.13</v>
      </c>
      <c r="O32" s="51"/>
      <c r="P32" s="50">
        <f>VLOOKUP(P22,'TARIFAS ANEXO 8'!$D$117:$G$127,3,1)</f>
        <v>19682.13</v>
      </c>
    </row>
    <row r="33" spans="1:30" x14ac:dyDescent="0.25">
      <c r="A33" s="63"/>
      <c r="C33" s="34"/>
      <c r="D33" s="34"/>
      <c r="E33" s="34"/>
      <c r="F33" s="26"/>
      <c r="G33" s="26"/>
      <c r="H33" s="26"/>
      <c r="I33" s="26"/>
      <c r="J33" s="26"/>
      <c r="K33" s="26"/>
      <c r="L33" s="26"/>
      <c r="M33" s="26"/>
      <c r="N33" s="26"/>
      <c r="O33" s="27"/>
      <c r="P33" s="34"/>
    </row>
    <row r="34" spans="1:30" s="44" customFormat="1" ht="19.5" thickBot="1" x14ac:dyDescent="0.35">
      <c r="A34" s="69" t="s">
        <v>49</v>
      </c>
      <c r="C34" s="75">
        <f t="shared" ref="C34:N34" si="3">C30+C32</f>
        <v>38.754133333333257</v>
      </c>
      <c r="D34" s="75">
        <f>D30+D32</f>
        <v>239.81290666666649</v>
      </c>
      <c r="E34" s="75">
        <f t="shared" si="3"/>
        <v>4826.3413760000003</v>
      </c>
      <c r="F34" s="75">
        <f t="shared" si="3"/>
        <v>22283.187855999993</v>
      </c>
      <c r="G34" s="75">
        <f t="shared" si="3"/>
        <v>20651.773584000002</v>
      </c>
      <c r="H34" s="75">
        <f t="shared" si="3"/>
        <v>20830.528728000001</v>
      </c>
      <c r="I34" s="75">
        <f t="shared" si="3"/>
        <v>19407.283872000004</v>
      </c>
      <c r="J34" s="75">
        <f t="shared" si="3"/>
        <v>27596.039016000006</v>
      </c>
      <c r="K34" s="75">
        <f t="shared" si="3"/>
        <v>26172.794160000001</v>
      </c>
      <c r="L34" s="75">
        <f t="shared" si="3"/>
        <v>28193.422103999997</v>
      </c>
      <c r="M34" s="75">
        <f t="shared" si="3"/>
        <v>26770.177247999989</v>
      </c>
      <c r="N34" s="75">
        <f t="shared" si="3"/>
        <v>34856.587991999986</v>
      </c>
      <c r="O34" s="70"/>
      <c r="P34" s="351">
        <f>P30+P32</f>
        <v>34856.587991999986</v>
      </c>
      <c r="Q34" s="20"/>
      <c r="R34" s="20"/>
      <c r="S34" s="20"/>
      <c r="T34" s="20"/>
      <c r="U34" s="20"/>
      <c r="V34" s="20"/>
      <c r="W34" s="20"/>
      <c r="X34" s="20"/>
      <c r="Y34" s="20"/>
      <c r="Z34" s="20"/>
      <c r="AA34" s="20"/>
      <c r="AB34" s="20"/>
      <c r="AC34" s="20"/>
      <c r="AD34" s="20"/>
    </row>
    <row r="35" spans="1:30" ht="15.75" thickTop="1" x14ac:dyDescent="0.25">
      <c r="A35" s="63"/>
      <c r="C35" s="34"/>
      <c r="D35" s="34"/>
      <c r="E35" s="34"/>
      <c r="F35" s="26"/>
      <c r="G35" s="26"/>
      <c r="H35" s="26"/>
      <c r="I35" s="26"/>
      <c r="J35" s="26"/>
      <c r="K35" s="26"/>
      <c r="L35" s="26"/>
      <c r="M35" s="26"/>
      <c r="N35" s="26"/>
      <c r="O35" s="27"/>
      <c r="P35" s="34"/>
    </row>
    <row r="36" spans="1:30" x14ac:dyDescent="0.25">
      <c r="A36" s="37" t="s">
        <v>50</v>
      </c>
      <c r="C36" s="34">
        <v>0</v>
      </c>
      <c r="D36" s="34">
        <f>IF(C41&gt;0,C36+C37+C40+C41,C36+C37+C40)</f>
        <v>38.754133333333257</v>
      </c>
      <c r="E36" s="34">
        <f t="shared" ref="D36:N36" si="4">IF(D41&gt;0,D36+D37+D40+D41,D36+D37+D40)</f>
        <v>239.81290666666649</v>
      </c>
      <c r="F36" s="26">
        <f>IF(E41&gt;0,E36+E37+E40+E41,E36+E37+E40)</f>
        <v>4826.3413760000003</v>
      </c>
      <c r="G36" s="26">
        <f>IF(F41&gt;0,F36+F37+F40+F41,F36+F37+F40)</f>
        <v>22283.187855999993</v>
      </c>
      <c r="H36" s="26">
        <f t="shared" si="4"/>
        <v>22283.187855999993</v>
      </c>
      <c r="I36" s="26">
        <f t="shared" si="4"/>
        <v>22283.187855999993</v>
      </c>
      <c r="J36" s="26">
        <f t="shared" si="4"/>
        <v>22283.187855999993</v>
      </c>
      <c r="K36" s="26">
        <f t="shared" si="4"/>
        <v>27596.039016000006</v>
      </c>
      <c r="L36" s="26">
        <f t="shared" si="4"/>
        <v>27596.039016000006</v>
      </c>
      <c r="M36" s="26">
        <f t="shared" si="4"/>
        <v>28193.422103999997</v>
      </c>
      <c r="N36" s="26">
        <f>IF(M41&gt;0,M36+M37+M40+M41,M36+M37+M40)</f>
        <v>28193.422103999997</v>
      </c>
      <c r="O36" s="27"/>
      <c r="P36" s="34">
        <f>IF(N41&gt;0,N36+N37+N40+N41,N36+N37+N40)</f>
        <v>34856.587991999986</v>
      </c>
    </row>
    <row r="37" spans="1:30" x14ac:dyDescent="0.25">
      <c r="A37" s="37" t="s">
        <v>51</v>
      </c>
      <c r="C37" s="34">
        <v>0</v>
      </c>
      <c r="D37" s="34">
        <v>0</v>
      </c>
      <c r="E37" s="34">
        <v>0</v>
      </c>
      <c r="F37" s="26">
        <v>0</v>
      </c>
      <c r="G37" s="26">
        <v>0</v>
      </c>
      <c r="H37" s="26">
        <v>0</v>
      </c>
      <c r="I37" s="26">
        <v>0</v>
      </c>
      <c r="J37" s="26">
        <v>0</v>
      </c>
      <c r="K37" s="26">
        <v>0</v>
      </c>
      <c r="L37" s="26">
        <v>0</v>
      </c>
      <c r="M37" s="26">
        <v>0</v>
      </c>
      <c r="N37" s="26">
        <v>0</v>
      </c>
      <c r="O37" s="27"/>
      <c r="P37" s="34">
        <v>0</v>
      </c>
    </row>
    <row r="38" spans="1:30" x14ac:dyDescent="0.25">
      <c r="A38" s="37" t="s">
        <v>52</v>
      </c>
      <c r="C38" s="34">
        <f>C9*1%</f>
        <v>0</v>
      </c>
      <c r="D38" s="34">
        <v>0</v>
      </c>
      <c r="E38" s="34">
        <v>0</v>
      </c>
      <c r="F38" s="26">
        <v>0</v>
      </c>
      <c r="G38" s="26">
        <v>0</v>
      </c>
      <c r="H38" s="26">
        <v>0</v>
      </c>
      <c r="I38" s="26">
        <v>0</v>
      </c>
      <c r="J38" s="26">
        <v>0</v>
      </c>
      <c r="K38" s="26">
        <v>0</v>
      </c>
      <c r="L38" s="26">
        <v>0</v>
      </c>
      <c r="M38" s="26">
        <v>0</v>
      </c>
      <c r="N38" s="26">
        <f t="shared" ref="N38" si="5">M38+0</f>
        <v>0</v>
      </c>
      <c r="O38" s="27"/>
      <c r="P38" s="34">
        <f>N38</f>
        <v>0</v>
      </c>
    </row>
    <row r="39" spans="1:30" x14ac:dyDescent="0.25">
      <c r="A39" s="65"/>
      <c r="C39" s="34"/>
      <c r="D39" s="34"/>
      <c r="E39" s="34"/>
      <c r="F39" s="26"/>
      <c r="G39" s="26"/>
      <c r="H39" s="26"/>
      <c r="I39" s="26"/>
      <c r="J39" s="26"/>
      <c r="K39" s="26"/>
      <c r="L39" s="26"/>
      <c r="M39" s="26"/>
      <c r="N39" s="26"/>
      <c r="O39" s="27"/>
      <c r="P39" s="34"/>
    </row>
    <row r="40" spans="1:30" ht="15.75" thickBot="1" x14ac:dyDescent="0.3">
      <c r="A40" s="63"/>
      <c r="B40" s="21"/>
      <c r="C40" s="34"/>
      <c r="D40" s="34"/>
      <c r="E40" s="34"/>
      <c r="F40" s="26"/>
      <c r="G40" s="26"/>
      <c r="H40" s="26"/>
      <c r="I40" s="26"/>
      <c r="J40" s="26"/>
      <c r="K40" s="26"/>
      <c r="L40" s="26"/>
      <c r="M40" s="26"/>
      <c r="N40" s="26"/>
      <c r="O40" s="27"/>
      <c r="P40" s="34"/>
    </row>
    <row r="41" spans="1:30" ht="15.75" thickBot="1" x14ac:dyDescent="0.3">
      <c r="A41" s="37" t="s">
        <v>53</v>
      </c>
      <c r="B41" s="21">
        <v>1</v>
      </c>
      <c r="C41" s="38">
        <f>IF((C34-C36-C37-C38)&gt;0,C34-C36-C37-C38,0)</f>
        <v>38.754133333333257</v>
      </c>
      <c r="D41" s="38">
        <f>IF((D34-D36-D37-D38)&gt;0,D34-D36-D37-D38,0)</f>
        <v>201.05877333333325</v>
      </c>
      <c r="E41" s="38">
        <f t="shared" ref="E41:N41" si="6">IF((E34-E36-E37-E38)&gt;0,E34-E36-E37-E38,0)</f>
        <v>4586.5284693333342</v>
      </c>
      <c r="F41" s="38">
        <f t="shared" si="6"/>
        <v>17456.846479999993</v>
      </c>
      <c r="G41" s="38">
        <f t="shared" si="6"/>
        <v>0</v>
      </c>
      <c r="H41" s="38">
        <f t="shared" si="6"/>
        <v>0</v>
      </c>
      <c r="I41" s="38">
        <f t="shared" si="6"/>
        <v>0</v>
      </c>
      <c r="J41" s="38">
        <f t="shared" si="6"/>
        <v>5312.8511600000129</v>
      </c>
      <c r="K41" s="38">
        <f t="shared" si="6"/>
        <v>0</v>
      </c>
      <c r="L41" s="38">
        <f t="shared" si="6"/>
        <v>597.3830879999914</v>
      </c>
      <c r="M41" s="38">
        <f t="shared" si="6"/>
        <v>0</v>
      </c>
      <c r="N41" s="38">
        <f t="shared" si="6"/>
        <v>6663.1658879999886</v>
      </c>
      <c r="O41" s="30"/>
      <c r="P41" s="352">
        <f>P34-P36-P38</f>
        <v>0</v>
      </c>
      <c r="Q41" s="28"/>
    </row>
    <row r="42" spans="1:30" x14ac:dyDescent="0.25">
      <c r="B42" s="21"/>
      <c r="C42" s="32"/>
      <c r="D42" s="32"/>
      <c r="E42" s="32"/>
      <c r="F42" s="32"/>
      <c r="G42" s="32"/>
      <c r="H42" s="32"/>
      <c r="I42" s="32"/>
      <c r="J42" s="32"/>
      <c r="K42" s="32"/>
      <c r="L42" s="32"/>
      <c r="M42" s="32"/>
      <c r="N42" s="32"/>
    </row>
    <row r="43" spans="1:30" x14ac:dyDescent="0.25">
      <c r="B43" s="21"/>
    </row>
    <row r="49" spans="3:4" x14ac:dyDescent="0.25">
      <c r="C49" s="39"/>
    </row>
    <row r="50" spans="3:4" x14ac:dyDescent="0.25">
      <c r="C50" s="39"/>
    </row>
    <row r="58" spans="3:4" x14ac:dyDescent="0.25">
      <c r="D58" s="40"/>
    </row>
    <row r="59" spans="3:4" x14ac:dyDescent="0.25">
      <c r="D59" s="40"/>
    </row>
    <row r="60" spans="3:4" x14ac:dyDescent="0.25">
      <c r="D60" s="40"/>
    </row>
    <row r="63" spans="3:4" x14ac:dyDescent="0.25">
      <c r="D63" s="41"/>
    </row>
    <row r="64" spans="3:4" x14ac:dyDescent="0.25">
      <c r="D64" s="41"/>
    </row>
    <row r="65" spans="4:8" x14ac:dyDescent="0.25">
      <c r="D65" s="41"/>
    </row>
    <row r="72" spans="4:8" x14ac:dyDescent="0.25">
      <c r="G72" s="29"/>
      <c r="H72" s="40"/>
    </row>
    <row r="73" spans="4:8" x14ac:dyDescent="0.25">
      <c r="G73" s="29"/>
      <c r="H73" s="40"/>
    </row>
    <row r="74" spans="4:8" x14ac:dyDescent="0.25">
      <c r="G74" s="29"/>
      <c r="H74" s="40"/>
    </row>
    <row r="75" spans="4:8" x14ac:dyDescent="0.25">
      <c r="G75" s="29"/>
      <c r="H75" s="40"/>
    </row>
    <row r="76" spans="4:8" x14ac:dyDescent="0.25">
      <c r="E76" s="42"/>
      <c r="F76" s="42"/>
      <c r="G76" s="43"/>
    </row>
    <row r="77" spans="4:8" x14ac:dyDescent="0.25">
      <c r="F77" s="29"/>
      <c r="G77" s="29"/>
    </row>
  </sheetData>
  <mergeCells count="5">
    <mergeCell ref="C6:P6"/>
    <mergeCell ref="D58:D60"/>
    <mergeCell ref="D63:D65"/>
    <mergeCell ref="H72:H75"/>
    <mergeCell ref="A3:P4"/>
  </mergeCells>
  <pageMargins left="0.7" right="0.7" top="0.75" bottom="0.75" header="0.3" footer="0.3"/>
  <pageSetup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3"/>
  <sheetViews>
    <sheetView showGridLines="0" zoomScale="90" zoomScaleNormal="90" workbookViewId="0">
      <selection activeCell="F36" sqref="F36"/>
    </sheetView>
  </sheetViews>
  <sheetFormatPr baseColWidth="10" defaultRowHeight="15.75" x14ac:dyDescent="0.25"/>
  <cols>
    <col min="1" max="1" width="6.7109375" customWidth="1"/>
    <col min="2" max="2" width="12.28515625" style="20" customWidth="1"/>
    <col min="3" max="3" width="28.140625" style="20" bestFit="1" customWidth="1"/>
    <col min="4" max="4" width="11.42578125" style="20" customWidth="1"/>
    <col min="5" max="5" width="14.140625" style="20" customWidth="1"/>
    <col min="6" max="6" width="14" style="296" customWidth="1"/>
    <col min="7" max="7" width="25.7109375" style="297" bestFit="1" customWidth="1"/>
    <col min="8" max="8" width="20.7109375" style="20" customWidth="1"/>
    <col min="9" max="9" width="20" customWidth="1"/>
    <col min="10" max="11" width="12.5703125" bestFit="1" customWidth="1"/>
    <col min="258" max="258" width="12.28515625" customWidth="1"/>
    <col min="259" max="259" width="28.140625" bestFit="1" customWidth="1"/>
    <col min="260" max="261" width="11.42578125" customWidth="1"/>
    <col min="262" max="262" width="14" customWidth="1"/>
    <col min="263" max="263" width="15.28515625" bestFit="1" customWidth="1"/>
    <col min="264" max="264" width="12.5703125" bestFit="1" customWidth="1"/>
    <col min="514" max="514" width="12.28515625" customWidth="1"/>
    <col min="515" max="515" width="28.140625" bestFit="1" customWidth="1"/>
    <col min="516" max="517" width="11.42578125" customWidth="1"/>
    <col min="518" max="518" width="14" customWidth="1"/>
    <col min="519" max="519" width="15.28515625" bestFit="1" customWidth="1"/>
    <col min="520" max="520" width="12.5703125" bestFit="1" customWidth="1"/>
    <col min="770" max="770" width="12.28515625" customWidth="1"/>
    <col min="771" max="771" width="28.140625" bestFit="1" customWidth="1"/>
    <col min="772" max="773" width="11.42578125" customWidth="1"/>
    <col min="774" max="774" width="14" customWidth="1"/>
    <col min="775" max="775" width="15.28515625" bestFit="1" customWidth="1"/>
    <col min="776" max="776" width="12.5703125" bestFit="1" customWidth="1"/>
    <col min="1026" max="1026" width="12.28515625" customWidth="1"/>
    <col min="1027" max="1027" width="28.140625" bestFit="1" customWidth="1"/>
    <col min="1028" max="1029" width="11.42578125" customWidth="1"/>
    <col min="1030" max="1030" width="14" customWidth="1"/>
    <col min="1031" max="1031" width="15.28515625" bestFit="1" customWidth="1"/>
    <col min="1032" max="1032" width="12.5703125" bestFit="1" customWidth="1"/>
    <col min="1282" max="1282" width="12.28515625" customWidth="1"/>
    <col min="1283" max="1283" width="28.140625" bestFit="1" customWidth="1"/>
    <col min="1284" max="1285" width="11.42578125" customWidth="1"/>
    <col min="1286" max="1286" width="14" customWidth="1"/>
    <col min="1287" max="1287" width="15.28515625" bestFit="1" customWidth="1"/>
    <col min="1288" max="1288" width="12.5703125" bestFit="1" customWidth="1"/>
    <col min="1538" max="1538" width="12.28515625" customWidth="1"/>
    <col min="1539" max="1539" width="28.140625" bestFit="1" customWidth="1"/>
    <col min="1540" max="1541" width="11.42578125" customWidth="1"/>
    <col min="1542" max="1542" width="14" customWidth="1"/>
    <col min="1543" max="1543" width="15.28515625" bestFit="1" customWidth="1"/>
    <col min="1544" max="1544" width="12.5703125" bestFit="1" customWidth="1"/>
    <col min="1794" max="1794" width="12.28515625" customWidth="1"/>
    <col min="1795" max="1795" width="28.140625" bestFit="1" customWidth="1"/>
    <col min="1796" max="1797" width="11.42578125" customWidth="1"/>
    <col min="1798" max="1798" width="14" customWidth="1"/>
    <col min="1799" max="1799" width="15.28515625" bestFit="1" customWidth="1"/>
    <col min="1800" max="1800" width="12.5703125" bestFit="1" customWidth="1"/>
    <col min="2050" max="2050" width="12.28515625" customWidth="1"/>
    <col min="2051" max="2051" width="28.140625" bestFit="1" customWidth="1"/>
    <col min="2052" max="2053" width="11.42578125" customWidth="1"/>
    <col min="2054" max="2054" width="14" customWidth="1"/>
    <col min="2055" max="2055" width="15.28515625" bestFit="1" customWidth="1"/>
    <col min="2056" max="2056" width="12.5703125" bestFit="1" customWidth="1"/>
    <col min="2306" max="2306" width="12.28515625" customWidth="1"/>
    <col min="2307" max="2307" width="28.140625" bestFit="1" customWidth="1"/>
    <col min="2308" max="2309" width="11.42578125" customWidth="1"/>
    <col min="2310" max="2310" width="14" customWidth="1"/>
    <col min="2311" max="2311" width="15.28515625" bestFit="1" customWidth="1"/>
    <col min="2312" max="2312" width="12.5703125" bestFit="1" customWidth="1"/>
    <col min="2562" max="2562" width="12.28515625" customWidth="1"/>
    <col min="2563" max="2563" width="28.140625" bestFit="1" customWidth="1"/>
    <col min="2564" max="2565" width="11.42578125" customWidth="1"/>
    <col min="2566" max="2566" width="14" customWidth="1"/>
    <col min="2567" max="2567" width="15.28515625" bestFit="1" customWidth="1"/>
    <col min="2568" max="2568" width="12.5703125" bestFit="1" customWidth="1"/>
    <col min="2818" max="2818" width="12.28515625" customWidth="1"/>
    <col min="2819" max="2819" width="28.140625" bestFit="1" customWidth="1"/>
    <col min="2820" max="2821" width="11.42578125" customWidth="1"/>
    <col min="2822" max="2822" width="14" customWidth="1"/>
    <col min="2823" max="2823" width="15.28515625" bestFit="1" customWidth="1"/>
    <col min="2824" max="2824" width="12.5703125" bestFit="1" customWidth="1"/>
    <col min="3074" max="3074" width="12.28515625" customWidth="1"/>
    <col min="3075" max="3075" width="28.140625" bestFit="1" customWidth="1"/>
    <col min="3076" max="3077" width="11.42578125" customWidth="1"/>
    <col min="3078" max="3078" width="14" customWidth="1"/>
    <col min="3079" max="3079" width="15.28515625" bestFit="1" customWidth="1"/>
    <col min="3080" max="3080" width="12.5703125" bestFit="1" customWidth="1"/>
    <col min="3330" max="3330" width="12.28515625" customWidth="1"/>
    <col min="3331" max="3331" width="28.140625" bestFit="1" customWidth="1"/>
    <col min="3332" max="3333" width="11.42578125" customWidth="1"/>
    <col min="3334" max="3334" width="14" customWidth="1"/>
    <col min="3335" max="3335" width="15.28515625" bestFit="1" customWidth="1"/>
    <col min="3336" max="3336" width="12.5703125" bestFit="1" customWidth="1"/>
    <col min="3586" max="3586" width="12.28515625" customWidth="1"/>
    <col min="3587" max="3587" width="28.140625" bestFit="1" customWidth="1"/>
    <col min="3588" max="3589" width="11.42578125" customWidth="1"/>
    <col min="3590" max="3590" width="14" customWidth="1"/>
    <col min="3591" max="3591" width="15.28515625" bestFit="1" customWidth="1"/>
    <col min="3592" max="3592" width="12.5703125" bestFit="1" customWidth="1"/>
    <col min="3842" max="3842" width="12.28515625" customWidth="1"/>
    <col min="3843" max="3843" width="28.140625" bestFit="1" customWidth="1"/>
    <col min="3844" max="3845" width="11.42578125" customWidth="1"/>
    <col min="3846" max="3846" width="14" customWidth="1"/>
    <col min="3847" max="3847" width="15.28515625" bestFit="1" customWidth="1"/>
    <col min="3848" max="3848" width="12.5703125" bestFit="1" customWidth="1"/>
    <col min="4098" max="4098" width="12.28515625" customWidth="1"/>
    <col min="4099" max="4099" width="28.140625" bestFit="1" customWidth="1"/>
    <col min="4100" max="4101" width="11.42578125" customWidth="1"/>
    <col min="4102" max="4102" width="14" customWidth="1"/>
    <col min="4103" max="4103" width="15.28515625" bestFit="1" customWidth="1"/>
    <col min="4104" max="4104" width="12.5703125" bestFit="1" customWidth="1"/>
    <col min="4354" max="4354" width="12.28515625" customWidth="1"/>
    <col min="4355" max="4355" width="28.140625" bestFit="1" customWidth="1"/>
    <col min="4356" max="4357" width="11.42578125" customWidth="1"/>
    <col min="4358" max="4358" width="14" customWidth="1"/>
    <col min="4359" max="4359" width="15.28515625" bestFit="1" customWidth="1"/>
    <col min="4360" max="4360" width="12.5703125" bestFit="1" customWidth="1"/>
    <col min="4610" max="4610" width="12.28515625" customWidth="1"/>
    <col min="4611" max="4611" width="28.140625" bestFit="1" customWidth="1"/>
    <col min="4612" max="4613" width="11.42578125" customWidth="1"/>
    <col min="4614" max="4614" width="14" customWidth="1"/>
    <col min="4615" max="4615" width="15.28515625" bestFit="1" customWidth="1"/>
    <col min="4616" max="4616" width="12.5703125" bestFit="1" customWidth="1"/>
    <col min="4866" max="4866" width="12.28515625" customWidth="1"/>
    <col min="4867" max="4867" width="28.140625" bestFit="1" customWidth="1"/>
    <col min="4868" max="4869" width="11.42578125" customWidth="1"/>
    <col min="4870" max="4870" width="14" customWidth="1"/>
    <col min="4871" max="4871" width="15.28515625" bestFit="1" customWidth="1"/>
    <col min="4872" max="4872" width="12.5703125" bestFit="1" customWidth="1"/>
    <col min="5122" max="5122" width="12.28515625" customWidth="1"/>
    <col min="5123" max="5123" width="28.140625" bestFit="1" customWidth="1"/>
    <col min="5124" max="5125" width="11.42578125" customWidth="1"/>
    <col min="5126" max="5126" width="14" customWidth="1"/>
    <col min="5127" max="5127" width="15.28515625" bestFit="1" customWidth="1"/>
    <col min="5128" max="5128" width="12.5703125" bestFit="1" customWidth="1"/>
    <col min="5378" max="5378" width="12.28515625" customWidth="1"/>
    <col min="5379" max="5379" width="28.140625" bestFit="1" customWidth="1"/>
    <col min="5380" max="5381" width="11.42578125" customWidth="1"/>
    <col min="5382" max="5382" width="14" customWidth="1"/>
    <col min="5383" max="5383" width="15.28515625" bestFit="1" customWidth="1"/>
    <col min="5384" max="5384" width="12.5703125" bestFit="1" customWidth="1"/>
    <col min="5634" max="5634" width="12.28515625" customWidth="1"/>
    <col min="5635" max="5635" width="28.140625" bestFit="1" customWidth="1"/>
    <col min="5636" max="5637" width="11.42578125" customWidth="1"/>
    <col min="5638" max="5638" width="14" customWidth="1"/>
    <col min="5639" max="5639" width="15.28515625" bestFit="1" customWidth="1"/>
    <col min="5640" max="5640" width="12.5703125" bestFit="1" customWidth="1"/>
    <col min="5890" max="5890" width="12.28515625" customWidth="1"/>
    <col min="5891" max="5891" width="28.140625" bestFit="1" customWidth="1"/>
    <col min="5892" max="5893" width="11.42578125" customWidth="1"/>
    <col min="5894" max="5894" width="14" customWidth="1"/>
    <col min="5895" max="5895" width="15.28515625" bestFit="1" customWidth="1"/>
    <col min="5896" max="5896" width="12.5703125" bestFit="1" customWidth="1"/>
    <col min="6146" max="6146" width="12.28515625" customWidth="1"/>
    <col min="6147" max="6147" width="28.140625" bestFit="1" customWidth="1"/>
    <col min="6148" max="6149" width="11.42578125" customWidth="1"/>
    <col min="6150" max="6150" width="14" customWidth="1"/>
    <col min="6151" max="6151" width="15.28515625" bestFit="1" customWidth="1"/>
    <col min="6152" max="6152" width="12.5703125" bestFit="1" customWidth="1"/>
    <col min="6402" max="6402" width="12.28515625" customWidth="1"/>
    <col min="6403" max="6403" width="28.140625" bestFit="1" customWidth="1"/>
    <col min="6404" max="6405" width="11.42578125" customWidth="1"/>
    <col min="6406" max="6406" width="14" customWidth="1"/>
    <col min="6407" max="6407" width="15.28515625" bestFit="1" customWidth="1"/>
    <col min="6408" max="6408" width="12.5703125" bestFit="1" customWidth="1"/>
    <col min="6658" max="6658" width="12.28515625" customWidth="1"/>
    <col min="6659" max="6659" width="28.140625" bestFit="1" customWidth="1"/>
    <col min="6660" max="6661" width="11.42578125" customWidth="1"/>
    <col min="6662" max="6662" width="14" customWidth="1"/>
    <col min="6663" max="6663" width="15.28515625" bestFit="1" customWidth="1"/>
    <col min="6664" max="6664" width="12.5703125" bestFit="1" customWidth="1"/>
    <col min="6914" max="6914" width="12.28515625" customWidth="1"/>
    <col min="6915" max="6915" width="28.140625" bestFit="1" customWidth="1"/>
    <col min="6916" max="6917" width="11.42578125" customWidth="1"/>
    <col min="6918" max="6918" width="14" customWidth="1"/>
    <col min="6919" max="6919" width="15.28515625" bestFit="1" customWidth="1"/>
    <col min="6920" max="6920" width="12.5703125" bestFit="1" customWidth="1"/>
    <col min="7170" max="7170" width="12.28515625" customWidth="1"/>
    <col min="7171" max="7171" width="28.140625" bestFit="1" customWidth="1"/>
    <col min="7172" max="7173" width="11.42578125" customWidth="1"/>
    <col min="7174" max="7174" width="14" customWidth="1"/>
    <col min="7175" max="7175" width="15.28515625" bestFit="1" customWidth="1"/>
    <col min="7176" max="7176" width="12.5703125" bestFit="1" customWidth="1"/>
    <col min="7426" max="7426" width="12.28515625" customWidth="1"/>
    <col min="7427" max="7427" width="28.140625" bestFit="1" customWidth="1"/>
    <col min="7428" max="7429" width="11.42578125" customWidth="1"/>
    <col min="7430" max="7430" width="14" customWidth="1"/>
    <col min="7431" max="7431" width="15.28515625" bestFit="1" customWidth="1"/>
    <col min="7432" max="7432" width="12.5703125" bestFit="1" customWidth="1"/>
    <col min="7682" max="7682" width="12.28515625" customWidth="1"/>
    <col min="7683" max="7683" width="28.140625" bestFit="1" customWidth="1"/>
    <col min="7684" max="7685" width="11.42578125" customWidth="1"/>
    <col min="7686" max="7686" width="14" customWidth="1"/>
    <col min="7687" max="7687" width="15.28515625" bestFit="1" customWidth="1"/>
    <col min="7688" max="7688" width="12.5703125" bestFit="1" customWidth="1"/>
    <col min="7938" max="7938" width="12.28515625" customWidth="1"/>
    <col min="7939" max="7939" width="28.140625" bestFit="1" customWidth="1"/>
    <col min="7940" max="7941" width="11.42578125" customWidth="1"/>
    <col min="7942" max="7942" width="14" customWidth="1"/>
    <col min="7943" max="7943" width="15.28515625" bestFit="1" customWidth="1"/>
    <col min="7944" max="7944" width="12.5703125" bestFit="1" customWidth="1"/>
    <col min="8194" max="8194" width="12.28515625" customWidth="1"/>
    <col min="8195" max="8195" width="28.140625" bestFit="1" customWidth="1"/>
    <col min="8196" max="8197" width="11.42578125" customWidth="1"/>
    <col min="8198" max="8198" width="14" customWidth="1"/>
    <col min="8199" max="8199" width="15.28515625" bestFit="1" customWidth="1"/>
    <col min="8200" max="8200" width="12.5703125" bestFit="1" customWidth="1"/>
    <col min="8450" max="8450" width="12.28515625" customWidth="1"/>
    <col min="8451" max="8451" width="28.140625" bestFit="1" customWidth="1"/>
    <col min="8452" max="8453" width="11.42578125" customWidth="1"/>
    <col min="8454" max="8454" width="14" customWidth="1"/>
    <col min="8455" max="8455" width="15.28515625" bestFit="1" customWidth="1"/>
    <col min="8456" max="8456" width="12.5703125" bestFit="1" customWidth="1"/>
    <col min="8706" max="8706" width="12.28515625" customWidth="1"/>
    <col min="8707" max="8707" width="28.140625" bestFit="1" customWidth="1"/>
    <col min="8708" max="8709" width="11.42578125" customWidth="1"/>
    <col min="8710" max="8710" width="14" customWidth="1"/>
    <col min="8711" max="8711" width="15.28515625" bestFit="1" customWidth="1"/>
    <col min="8712" max="8712" width="12.5703125" bestFit="1" customWidth="1"/>
    <col min="8962" max="8962" width="12.28515625" customWidth="1"/>
    <col min="8963" max="8963" width="28.140625" bestFit="1" customWidth="1"/>
    <col min="8964" max="8965" width="11.42578125" customWidth="1"/>
    <col min="8966" max="8966" width="14" customWidth="1"/>
    <col min="8967" max="8967" width="15.28515625" bestFit="1" customWidth="1"/>
    <col min="8968" max="8968" width="12.5703125" bestFit="1" customWidth="1"/>
    <col min="9218" max="9218" width="12.28515625" customWidth="1"/>
    <col min="9219" max="9219" width="28.140625" bestFit="1" customWidth="1"/>
    <col min="9220" max="9221" width="11.42578125" customWidth="1"/>
    <col min="9222" max="9222" width="14" customWidth="1"/>
    <col min="9223" max="9223" width="15.28515625" bestFit="1" customWidth="1"/>
    <col min="9224" max="9224" width="12.5703125" bestFit="1" customWidth="1"/>
    <col min="9474" max="9474" width="12.28515625" customWidth="1"/>
    <col min="9475" max="9475" width="28.140625" bestFit="1" customWidth="1"/>
    <col min="9476" max="9477" width="11.42578125" customWidth="1"/>
    <col min="9478" max="9478" width="14" customWidth="1"/>
    <col min="9479" max="9479" width="15.28515625" bestFit="1" customWidth="1"/>
    <col min="9480" max="9480" width="12.5703125" bestFit="1" customWidth="1"/>
    <col min="9730" max="9730" width="12.28515625" customWidth="1"/>
    <col min="9731" max="9731" width="28.140625" bestFit="1" customWidth="1"/>
    <col min="9732" max="9733" width="11.42578125" customWidth="1"/>
    <col min="9734" max="9734" width="14" customWidth="1"/>
    <col min="9735" max="9735" width="15.28515625" bestFit="1" customWidth="1"/>
    <col min="9736" max="9736" width="12.5703125" bestFit="1" customWidth="1"/>
    <col min="9986" max="9986" width="12.28515625" customWidth="1"/>
    <col min="9987" max="9987" width="28.140625" bestFit="1" customWidth="1"/>
    <col min="9988" max="9989" width="11.42578125" customWidth="1"/>
    <col min="9990" max="9990" width="14" customWidth="1"/>
    <col min="9991" max="9991" width="15.28515625" bestFit="1" customWidth="1"/>
    <col min="9992" max="9992" width="12.5703125" bestFit="1" customWidth="1"/>
    <col min="10242" max="10242" width="12.28515625" customWidth="1"/>
    <col min="10243" max="10243" width="28.140625" bestFit="1" customWidth="1"/>
    <col min="10244" max="10245" width="11.42578125" customWidth="1"/>
    <col min="10246" max="10246" width="14" customWidth="1"/>
    <col min="10247" max="10247" width="15.28515625" bestFit="1" customWidth="1"/>
    <col min="10248" max="10248" width="12.5703125" bestFit="1" customWidth="1"/>
    <col min="10498" max="10498" width="12.28515625" customWidth="1"/>
    <col min="10499" max="10499" width="28.140625" bestFit="1" customWidth="1"/>
    <col min="10500" max="10501" width="11.42578125" customWidth="1"/>
    <col min="10502" max="10502" width="14" customWidth="1"/>
    <col min="10503" max="10503" width="15.28515625" bestFit="1" customWidth="1"/>
    <col min="10504" max="10504" width="12.5703125" bestFit="1" customWidth="1"/>
    <col min="10754" max="10754" width="12.28515625" customWidth="1"/>
    <col min="10755" max="10755" width="28.140625" bestFit="1" customWidth="1"/>
    <col min="10756" max="10757" width="11.42578125" customWidth="1"/>
    <col min="10758" max="10758" width="14" customWidth="1"/>
    <col min="10759" max="10759" width="15.28515625" bestFit="1" customWidth="1"/>
    <col min="10760" max="10760" width="12.5703125" bestFit="1" customWidth="1"/>
    <col min="11010" max="11010" width="12.28515625" customWidth="1"/>
    <col min="11011" max="11011" width="28.140625" bestFit="1" customWidth="1"/>
    <col min="11012" max="11013" width="11.42578125" customWidth="1"/>
    <col min="11014" max="11014" width="14" customWidth="1"/>
    <col min="11015" max="11015" width="15.28515625" bestFit="1" customWidth="1"/>
    <col min="11016" max="11016" width="12.5703125" bestFit="1" customWidth="1"/>
    <col min="11266" max="11266" width="12.28515625" customWidth="1"/>
    <col min="11267" max="11267" width="28.140625" bestFit="1" customWidth="1"/>
    <col min="11268" max="11269" width="11.42578125" customWidth="1"/>
    <col min="11270" max="11270" width="14" customWidth="1"/>
    <col min="11271" max="11271" width="15.28515625" bestFit="1" customWidth="1"/>
    <col min="11272" max="11272" width="12.5703125" bestFit="1" customWidth="1"/>
    <col min="11522" max="11522" width="12.28515625" customWidth="1"/>
    <col min="11523" max="11523" width="28.140625" bestFit="1" customWidth="1"/>
    <col min="11524" max="11525" width="11.42578125" customWidth="1"/>
    <col min="11526" max="11526" width="14" customWidth="1"/>
    <col min="11527" max="11527" width="15.28515625" bestFit="1" customWidth="1"/>
    <col min="11528" max="11528" width="12.5703125" bestFit="1" customWidth="1"/>
    <col min="11778" max="11778" width="12.28515625" customWidth="1"/>
    <col min="11779" max="11779" width="28.140625" bestFit="1" customWidth="1"/>
    <col min="11780" max="11781" width="11.42578125" customWidth="1"/>
    <col min="11782" max="11782" width="14" customWidth="1"/>
    <col min="11783" max="11783" width="15.28515625" bestFit="1" customWidth="1"/>
    <col min="11784" max="11784" width="12.5703125" bestFit="1" customWidth="1"/>
    <col min="12034" max="12034" width="12.28515625" customWidth="1"/>
    <col min="12035" max="12035" width="28.140625" bestFit="1" customWidth="1"/>
    <col min="12036" max="12037" width="11.42578125" customWidth="1"/>
    <col min="12038" max="12038" width="14" customWidth="1"/>
    <col min="12039" max="12039" width="15.28515625" bestFit="1" customWidth="1"/>
    <col min="12040" max="12040" width="12.5703125" bestFit="1" customWidth="1"/>
    <col min="12290" max="12290" width="12.28515625" customWidth="1"/>
    <col min="12291" max="12291" width="28.140625" bestFit="1" customWidth="1"/>
    <col min="12292" max="12293" width="11.42578125" customWidth="1"/>
    <col min="12294" max="12294" width="14" customWidth="1"/>
    <col min="12295" max="12295" width="15.28515625" bestFit="1" customWidth="1"/>
    <col min="12296" max="12296" width="12.5703125" bestFit="1" customWidth="1"/>
    <col min="12546" max="12546" width="12.28515625" customWidth="1"/>
    <col min="12547" max="12547" width="28.140625" bestFit="1" customWidth="1"/>
    <col min="12548" max="12549" width="11.42578125" customWidth="1"/>
    <col min="12550" max="12550" width="14" customWidth="1"/>
    <col min="12551" max="12551" width="15.28515625" bestFit="1" customWidth="1"/>
    <col min="12552" max="12552" width="12.5703125" bestFit="1" customWidth="1"/>
    <col min="12802" max="12802" width="12.28515625" customWidth="1"/>
    <col min="12803" max="12803" width="28.140625" bestFit="1" customWidth="1"/>
    <col min="12804" max="12805" width="11.42578125" customWidth="1"/>
    <col min="12806" max="12806" width="14" customWidth="1"/>
    <col min="12807" max="12807" width="15.28515625" bestFit="1" customWidth="1"/>
    <col min="12808" max="12808" width="12.5703125" bestFit="1" customWidth="1"/>
    <col min="13058" max="13058" width="12.28515625" customWidth="1"/>
    <col min="13059" max="13059" width="28.140625" bestFit="1" customWidth="1"/>
    <col min="13060" max="13061" width="11.42578125" customWidth="1"/>
    <col min="13062" max="13062" width="14" customWidth="1"/>
    <col min="13063" max="13063" width="15.28515625" bestFit="1" customWidth="1"/>
    <col min="13064" max="13064" width="12.5703125" bestFit="1" customWidth="1"/>
    <col min="13314" max="13314" width="12.28515625" customWidth="1"/>
    <col min="13315" max="13315" width="28.140625" bestFit="1" customWidth="1"/>
    <col min="13316" max="13317" width="11.42578125" customWidth="1"/>
    <col min="13318" max="13318" width="14" customWidth="1"/>
    <col min="13319" max="13319" width="15.28515625" bestFit="1" customWidth="1"/>
    <col min="13320" max="13320" width="12.5703125" bestFit="1" customWidth="1"/>
    <col min="13570" max="13570" width="12.28515625" customWidth="1"/>
    <col min="13571" max="13571" width="28.140625" bestFit="1" customWidth="1"/>
    <col min="13572" max="13573" width="11.42578125" customWidth="1"/>
    <col min="13574" max="13574" width="14" customWidth="1"/>
    <col min="13575" max="13575" width="15.28515625" bestFit="1" customWidth="1"/>
    <col min="13576" max="13576" width="12.5703125" bestFit="1" customWidth="1"/>
    <col min="13826" max="13826" width="12.28515625" customWidth="1"/>
    <col min="13827" max="13827" width="28.140625" bestFit="1" customWidth="1"/>
    <col min="13828" max="13829" width="11.42578125" customWidth="1"/>
    <col min="13830" max="13830" width="14" customWidth="1"/>
    <col min="13831" max="13831" width="15.28515625" bestFit="1" customWidth="1"/>
    <col min="13832" max="13832" width="12.5703125" bestFit="1" customWidth="1"/>
    <col min="14082" max="14082" width="12.28515625" customWidth="1"/>
    <col min="14083" max="14083" width="28.140625" bestFit="1" customWidth="1"/>
    <col min="14084" max="14085" width="11.42578125" customWidth="1"/>
    <col min="14086" max="14086" width="14" customWidth="1"/>
    <col min="14087" max="14087" width="15.28515625" bestFit="1" customWidth="1"/>
    <col min="14088" max="14088" width="12.5703125" bestFit="1" customWidth="1"/>
    <col min="14338" max="14338" width="12.28515625" customWidth="1"/>
    <col min="14339" max="14339" width="28.140625" bestFit="1" customWidth="1"/>
    <col min="14340" max="14341" width="11.42578125" customWidth="1"/>
    <col min="14342" max="14342" width="14" customWidth="1"/>
    <col min="14343" max="14343" width="15.28515625" bestFit="1" customWidth="1"/>
    <col min="14344" max="14344" width="12.5703125" bestFit="1" customWidth="1"/>
    <col min="14594" max="14594" width="12.28515625" customWidth="1"/>
    <col min="14595" max="14595" width="28.140625" bestFit="1" customWidth="1"/>
    <col min="14596" max="14597" width="11.42578125" customWidth="1"/>
    <col min="14598" max="14598" width="14" customWidth="1"/>
    <col min="14599" max="14599" width="15.28515625" bestFit="1" customWidth="1"/>
    <col min="14600" max="14600" width="12.5703125" bestFit="1" customWidth="1"/>
    <col min="14850" max="14850" width="12.28515625" customWidth="1"/>
    <col min="14851" max="14851" width="28.140625" bestFit="1" customWidth="1"/>
    <col min="14852" max="14853" width="11.42578125" customWidth="1"/>
    <col min="14854" max="14854" width="14" customWidth="1"/>
    <col min="14855" max="14855" width="15.28515625" bestFit="1" customWidth="1"/>
    <col min="14856" max="14856" width="12.5703125" bestFit="1" customWidth="1"/>
    <col min="15106" max="15106" width="12.28515625" customWidth="1"/>
    <col min="15107" max="15107" width="28.140625" bestFit="1" customWidth="1"/>
    <col min="15108" max="15109" width="11.42578125" customWidth="1"/>
    <col min="15110" max="15110" width="14" customWidth="1"/>
    <col min="15111" max="15111" width="15.28515625" bestFit="1" customWidth="1"/>
    <col min="15112" max="15112" width="12.5703125" bestFit="1" customWidth="1"/>
    <col min="15362" max="15362" width="12.28515625" customWidth="1"/>
    <col min="15363" max="15363" width="28.140625" bestFit="1" customWidth="1"/>
    <col min="15364" max="15365" width="11.42578125" customWidth="1"/>
    <col min="15366" max="15366" width="14" customWidth="1"/>
    <col min="15367" max="15367" width="15.28515625" bestFit="1" customWidth="1"/>
    <col min="15368" max="15368" width="12.5703125" bestFit="1" customWidth="1"/>
    <col min="15618" max="15618" width="12.28515625" customWidth="1"/>
    <col min="15619" max="15619" width="28.140625" bestFit="1" customWidth="1"/>
    <col min="15620" max="15621" width="11.42578125" customWidth="1"/>
    <col min="15622" max="15622" width="14" customWidth="1"/>
    <col min="15623" max="15623" width="15.28515625" bestFit="1" customWidth="1"/>
    <col min="15624" max="15624" width="12.5703125" bestFit="1" customWidth="1"/>
    <col min="15874" max="15874" width="12.28515625" customWidth="1"/>
    <col min="15875" max="15875" width="28.140625" bestFit="1" customWidth="1"/>
    <col min="15876" max="15877" width="11.42578125" customWidth="1"/>
    <col min="15878" max="15878" width="14" customWidth="1"/>
    <col min="15879" max="15879" width="15.28515625" bestFit="1" customWidth="1"/>
    <col min="15880" max="15880" width="12.5703125" bestFit="1" customWidth="1"/>
    <col min="16130" max="16130" width="12.28515625" customWidth="1"/>
    <col min="16131" max="16131" width="28.140625" bestFit="1" customWidth="1"/>
    <col min="16132" max="16133" width="11.42578125" customWidth="1"/>
    <col min="16134" max="16134" width="14" customWidth="1"/>
    <col min="16135" max="16135" width="15.28515625" bestFit="1" customWidth="1"/>
    <col min="16136" max="16136" width="12.5703125" bestFit="1" customWidth="1"/>
  </cols>
  <sheetData>
    <row r="1" spans="2:17" ht="16.5" thickBot="1" x14ac:dyDescent="0.3"/>
    <row r="2" spans="2:17" s="294" customFormat="1" x14ac:dyDescent="0.25">
      <c r="C2" s="375" t="s">
        <v>277</v>
      </c>
      <c r="D2" s="376" t="s">
        <v>310</v>
      </c>
      <c r="E2" s="377"/>
      <c r="F2" s="378"/>
      <c r="G2" s="292"/>
      <c r="H2" s="293"/>
      <c r="I2" s="291"/>
    </row>
    <row r="3" spans="2:17" s="294" customFormat="1" x14ac:dyDescent="0.25">
      <c r="C3" s="379" t="s">
        <v>278</v>
      </c>
      <c r="D3" s="380" t="s">
        <v>311</v>
      </c>
      <c r="E3" s="381"/>
      <c r="F3" s="382"/>
      <c r="G3" s="292"/>
      <c r="H3" s="293"/>
      <c r="I3" s="291"/>
    </row>
    <row r="4" spans="2:17" s="294" customFormat="1" x14ac:dyDescent="0.25">
      <c r="C4" s="379" t="s">
        <v>279</v>
      </c>
      <c r="D4" s="381"/>
      <c r="E4" s="381"/>
      <c r="F4" s="382"/>
      <c r="G4" s="292"/>
      <c r="H4" s="293"/>
      <c r="I4" s="291"/>
    </row>
    <row r="5" spans="2:17" s="294" customFormat="1" ht="16.5" thickBot="1" x14ac:dyDescent="0.3">
      <c r="C5" s="383" t="s">
        <v>280</v>
      </c>
      <c r="D5" s="384">
        <v>2023</v>
      </c>
      <c r="E5" s="385"/>
      <c r="F5" s="386"/>
      <c r="G5" s="292"/>
      <c r="H5" s="293"/>
      <c r="I5" s="291"/>
    </row>
    <row r="6" spans="2:17" s="294" customFormat="1" ht="16.5" thickBot="1" x14ac:dyDescent="0.3">
      <c r="C6" s="291"/>
      <c r="D6" s="291"/>
      <c r="E6" s="291"/>
      <c r="F6" s="291"/>
      <c r="G6" s="292"/>
      <c r="H6" s="293"/>
      <c r="I6" s="291"/>
    </row>
    <row r="7" spans="2:17" ht="24" thickBot="1" x14ac:dyDescent="0.3">
      <c r="B7"/>
      <c r="C7" s="371" t="s">
        <v>281</v>
      </c>
      <c r="D7" s="372" t="s">
        <v>312</v>
      </c>
      <c r="E7" s="373"/>
      <c r="F7" s="374"/>
      <c r="G7" s="296"/>
      <c r="H7" s="297"/>
      <c r="I7" s="20"/>
      <c r="J7" s="1"/>
      <c r="K7" s="1"/>
      <c r="L7" s="1"/>
      <c r="M7" s="1"/>
      <c r="N7" s="1"/>
      <c r="O7" s="1"/>
      <c r="P7" s="1"/>
      <c r="Q7" s="1"/>
    </row>
    <row r="8" spans="2:17" s="12" customFormat="1" x14ac:dyDescent="0.25">
      <c r="B8" s="24"/>
      <c r="C8" s="13"/>
      <c r="D8" s="298"/>
      <c r="E8" s="13"/>
      <c r="F8" s="299"/>
      <c r="G8" s="300"/>
      <c r="H8" s="13"/>
      <c r="I8"/>
      <c r="J8"/>
      <c r="K8"/>
      <c r="L8"/>
      <c r="M8"/>
      <c r="N8"/>
      <c r="O8"/>
      <c r="P8"/>
    </row>
    <row r="9" spans="2:17" s="12" customFormat="1" x14ac:dyDescent="0.25">
      <c r="B9" s="24" t="s">
        <v>0</v>
      </c>
      <c r="C9" s="13"/>
      <c r="D9" s="20"/>
      <c r="E9" s="13"/>
      <c r="F9" s="299"/>
      <c r="G9" s="300"/>
      <c r="H9" s="13"/>
      <c r="I9"/>
      <c r="J9"/>
      <c r="K9"/>
      <c r="L9"/>
      <c r="M9"/>
      <c r="N9"/>
      <c r="O9"/>
      <c r="P9"/>
    </row>
    <row r="10" spans="2:17" s="12" customFormat="1" ht="16.5" thickBot="1" x14ac:dyDescent="0.3">
      <c r="B10" s="24"/>
      <c r="C10" s="13"/>
      <c r="D10" s="20"/>
      <c r="E10" s="13"/>
      <c r="F10" s="299"/>
      <c r="G10" s="300"/>
      <c r="H10" s="13"/>
      <c r="I10"/>
      <c r="J10" s="278"/>
      <c r="K10" s="278"/>
      <c r="L10" s="278"/>
      <c r="M10" s="278"/>
      <c r="N10" s="278"/>
      <c r="O10" s="278"/>
      <c r="P10"/>
    </row>
    <row r="11" spans="2:17" ht="16.5" thickBot="1" x14ac:dyDescent="0.3">
      <c r="C11" s="387" t="s">
        <v>317</v>
      </c>
      <c r="D11" s="388"/>
      <c r="E11" s="388"/>
      <c r="F11" s="388"/>
      <c r="G11" s="389"/>
      <c r="J11" s="278"/>
      <c r="K11" s="278"/>
      <c r="L11" s="278"/>
      <c r="M11" s="278"/>
      <c r="N11" s="278"/>
      <c r="O11" s="278"/>
    </row>
    <row r="12" spans="2:17" ht="18" x14ac:dyDescent="0.25">
      <c r="G12" s="354" t="s">
        <v>282</v>
      </c>
      <c r="I12" s="330"/>
      <c r="J12" s="333"/>
      <c r="K12" s="334"/>
      <c r="L12" s="334"/>
      <c r="M12" s="334"/>
      <c r="N12" s="334"/>
      <c r="O12" s="333"/>
      <c r="P12" s="330"/>
    </row>
    <row r="13" spans="2:17" x14ac:dyDescent="0.25">
      <c r="B13" s="302"/>
      <c r="C13" s="303" t="s">
        <v>313</v>
      </c>
      <c r="D13" s="44"/>
      <c r="E13" s="44"/>
      <c r="F13" s="304"/>
      <c r="G13" s="305">
        <f>'ISR '!P11</f>
        <v>635644</v>
      </c>
      <c r="H13" s="33"/>
      <c r="I13" s="332"/>
      <c r="J13" s="335"/>
      <c r="K13" s="335"/>
      <c r="L13" s="335"/>
      <c r="M13" s="335"/>
      <c r="N13" s="335"/>
      <c r="O13" s="335"/>
      <c r="P13" s="332"/>
    </row>
    <row r="14" spans="2:17" x14ac:dyDescent="0.25">
      <c r="B14" s="302"/>
      <c r="C14" s="303" t="s">
        <v>283</v>
      </c>
      <c r="D14" s="44"/>
      <c r="E14" s="44"/>
      <c r="F14" s="304"/>
      <c r="G14" s="306">
        <v>0</v>
      </c>
      <c r="I14" s="6"/>
      <c r="J14" s="336"/>
      <c r="K14" s="337"/>
      <c r="L14" s="336"/>
      <c r="M14" s="338"/>
      <c r="N14" s="339"/>
      <c r="O14" s="335"/>
      <c r="P14" s="332"/>
    </row>
    <row r="15" spans="2:17" ht="20.25" x14ac:dyDescent="0.55000000000000004">
      <c r="B15" s="302"/>
      <c r="C15" s="307" t="s">
        <v>284</v>
      </c>
      <c r="D15" s="307"/>
      <c r="E15" s="307"/>
      <c r="G15" s="308">
        <f>+SUM(G13:G14)</f>
        <v>635644</v>
      </c>
      <c r="I15" s="9"/>
      <c r="J15" s="336"/>
      <c r="K15" s="336"/>
      <c r="L15" s="336"/>
      <c r="M15" s="337"/>
      <c r="N15" s="339"/>
      <c r="O15" s="335"/>
      <c r="P15" s="332"/>
    </row>
    <row r="16" spans="2:17" x14ac:dyDescent="0.25">
      <c r="B16" s="302"/>
      <c r="C16" s="13"/>
      <c r="D16" s="13"/>
      <c r="E16" s="13"/>
      <c r="I16" s="9"/>
      <c r="J16" s="336"/>
      <c r="K16" s="336"/>
      <c r="L16" s="336"/>
      <c r="M16" s="336"/>
      <c r="N16" s="339"/>
      <c r="O16" s="335"/>
      <c r="P16" s="332"/>
    </row>
    <row r="17" spans="2:16" x14ac:dyDescent="0.25">
      <c r="B17" s="302" t="s">
        <v>285</v>
      </c>
      <c r="C17" s="44" t="s">
        <v>286</v>
      </c>
      <c r="D17" s="44"/>
      <c r="E17" s="44"/>
      <c r="F17" s="301"/>
      <c r="G17" s="306">
        <v>0</v>
      </c>
      <c r="H17" s="309"/>
      <c r="I17" s="9"/>
      <c r="J17" s="336"/>
      <c r="K17" s="336"/>
      <c r="L17" s="336"/>
      <c r="M17" s="336"/>
      <c r="N17" s="339"/>
      <c r="O17" s="335"/>
      <c r="P17" s="332"/>
    </row>
    <row r="18" spans="2:16" x14ac:dyDescent="0.25">
      <c r="B18" s="302"/>
      <c r="I18" s="9"/>
      <c r="J18" s="9"/>
      <c r="K18" s="9"/>
      <c r="L18" s="9"/>
      <c r="M18" s="9"/>
      <c r="N18" s="8"/>
      <c r="O18" s="332"/>
      <c r="P18" s="332"/>
    </row>
    <row r="19" spans="2:16" x14ac:dyDescent="0.25">
      <c r="B19" s="302"/>
      <c r="C19" s="44" t="s">
        <v>287</v>
      </c>
      <c r="D19" s="44"/>
      <c r="E19" s="44"/>
      <c r="F19" s="301"/>
      <c r="G19" s="306">
        <f>'ISR '!P17</f>
        <v>378750.00000000006</v>
      </c>
      <c r="I19" s="9"/>
      <c r="J19" s="9"/>
      <c r="K19" s="9"/>
      <c r="L19" s="9"/>
      <c r="M19" s="9"/>
      <c r="N19" s="8"/>
      <c r="O19" s="332"/>
      <c r="P19" s="332"/>
    </row>
    <row r="20" spans="2:16" x14ac:dyDescent="0.25">
      <c r="B20" s="302"/>
      <c r="C20" s="44" t="s">
        <v>36</v>
      </c>
      <c r="D20" s="44"/>
      <c r="E20" s="44"/>
      <c r="F20" s="301"/>
      <c r="G20" s="310">
        <v>500</v>
      </c>
      <c r="H20" s="33"/>
      <c r="I20" s="9"/>
      <c r="J20" s="9"/>
      <c r="K20" s="9"/>
      <c r="L20" s="9"/>
      <c r="M20" s="9"/>
      <c r="N20" s="8"/>
      <c r="O20" s="332"/>
      <c r="P20" s="332"/>
    </row>
    <row r="21" spans="2:16" ht="20.25" x14ac:dyDescent="0.55000000000000004">
      <c r="B21" s="302" t="s">
        <v>285</v>
      </c>
      <c r="C21" s="47" t="s">
        <v>288</v>
      </c>
      <c r="G21" s="308">
        <f>SUM(G19:G20)</f>
        <v>379250.00000000006</v>
      </c>
      <c r="I21" s="9"/>
      <c r="J21" s="9"/>
      <c r="K21" s="9"/>
      <c r="L21" s="9"/>
      <c r="M21" s="9"/>
      <c r="N21" s="8"/>
      <c r="O21" s="332"/>
      <c r="P21" s="332"/>
    </row>
    <row r="22" spans="2:16" x14ac:dyDescent="0.25">
      <c r="B22" s="311" t="s">
        <v>289</v>
      </c>
      <c r="I22" s="9"/>
      <c r="J22" s="9"/>
      <c r="K22" s="9"/>
      <c r="L22" s="9"/>
      <c r="M22" s="9"/>
      <c r="N22" s="8"/>
      <c r="O22" s="332"/>
      <c r="P22" s="332"/>
    </row>
    <row r="23" spans="2:16" x14ac:dyDescent="0.25">
      <c r="B23" s="302" t="s">
        <v>290</v>
      </c>
      <c r="C23" s="44" t="s">
        <v>43</v>
      </c>
      <c r="D23" s="44"/>
      <c r="E23" s="44"/>
      <c r="F23" s="301"/>
      <c r="G23" s="353">
        <f>+G15-G17-G21</f>
        <v>256393.99999999994</v>
      </c>
      <c r="H23" s="33"/>
      <c r="I23" s="9"/>
      <c r="J23" s="9"/>
      <c r="K23" s="9"/>
      <c r="L23" s="9"/>
      <c r="M23" s="9"/>
      <c r="N23" s="8"/>
      <c r="O23" s="332"/>
      <c r="P23" s="332"/>
    </row>
    <row r="24" spans="2:16" x14ac:dyDescent="0.25">
      <c r="B24" s="302" t="s">
        <v>285</v>
      </c>
      <c r="C24" s="20" t="s">
        <v>291</v>
      </c>
      <c r="G24" s="312">
        <f>VLOOKUP(G23,'TARIFAS ANEXO 8'!$D$117:$G$127,1,1)</f>
        <v>185852.53</v>
      </c>
      <c r="H24" s="46"/>
      <c r="I24" s="9"/>
      <c r="J24" s="6"/>
      <c r="K24" s="9"/>
      <c r="L24" s="6"/>
      <c r="M24" s="9"/>
      <c r="N24" s="8"/>
      <c r="O24" s="332"/>
      <c r="P24" s="332"/>
    </row>
    <row r="25" spans="2:16" x14ac:dyDescent="0.25">
      <c r="B25" s="302" t="s">
        <v>290</v>
      </c>
      <c r="C25" s="313" t="s">
        <v>292</v>
      </c>
      <c r="G25" s="297">
        <f>+G23-G24</f>
        <v>70541.469999999943</v>
      </c>
      <c r="H25" s="314"/>
    </row>
    <row r="26" spans="2:16" x14ac:dyDescent="0.25">
      <c r="B26" s="302" t="s">
        <v>293</v>
      </c>
      <c r="C26" s="20" t="s">
        <v>294</v>
      </c>
      <c r="G26" s="315">
        <f>VLOOKUP(G23,'TARIFAS ANEXO 8'!$D$117:$G$127,4,1)</f>
        <v>0.21359999999999998</v>
      </c>
      <c r="H26" s="316"/>
      <c r="I26" s="126"/>
    </row>
    <row r="27" spans="2:16" x14ac:dyDescent="0.25">
      <c r="B27" s="302" t="s">
        <v>290</v>
      </c>
      <c r="C27" s="20" t="s">
        <v>295</v>
      </c>
      <c r="G27" s="297">
        <f>+G25*G26</f>
        <v>15067.657991999986</v>
      </c>
      <c r="H27" s="314"/>
      <c r="I27" s="317"/>
    </row>
    <row r="28" spans="2:16" x14ac:dyDescent="0.25">
      <c r="B28" s="302" t="s">
        <v>296</v>
      </c>
      <c r="C28" s="20" t="s">
        <v>297</v>
      </c>
      <c r="G28" s="312">
        <f>VLOOKUP(G23,'TARIFAS ANEXO 8'!$D$117:$G$127,3,1)</f>
        <v>19682.13</v>
      </c>
      <c r="H28" s="46"/>
    </row>
    <row r="29" spans="2:16" x14ac:dyDescent="0.25">
      <c r="B29" s="302" t="s">
        <v>290</v>
      </c>
      <c r="C29" s="20" t="s">
        <v>298</v>
      </c>
      <c r="G29" s="297">
        <f>+G27+G28</f>
        <v>34749.787991999983</v>
      </c>
      <c r="H29" s="314"/>
      <c r="I29" s="126"/>
    </row>
    <row r="30" spans="2:16" x14ac:dyDescent="0.25">
      <c r="B30" s="302" t="s">
        <v>285</v>
      </c>
      <c r="C30" s="20" t="s">
        <v>299</v>
      </c>
      <c r="G30" s="297">
        <v>0</v>
      </c>
    </row>
    <row r="31" spans="2:16" x14ac:dyDescent="0.25">
      <c r="B31" s="302" t="s">
        <v>290</v>
      </c>
      <c r="C31" s="44" t="s">
        <v>300</v>
      </c>
      <c r="D31" s="44"/>
      <c r="E31" s="44"/>
      <c r="F31" s="301"/>
      <c r="G31" s="318">
        <f>+G29-G30</f>
        <v>34749.787991999983</v>
      </c>
      <c r="H31" s="314"/>
    </row>
    <row r="32" spans="2:16" x14ac:dyDescent="0.25">
      <c r="B32" s="302"/>
      <c r="C32" s="319"/>
      <c r="D32" s="319"/>
      <c r="E32" s="319"/>
      <c r="F32" s="320"/>
      <c r="H32" s="314"/>
    </row>
    <row r="33" spans="2:12" ht="15" x14ac:dyDescent="0.25">
      <c r="B33" s="302" t="s">
        <v>285</v>
      </c>
      <c r="C33" s="24" t="s">
        <v>19</v>
      </c>
      <c r="D33" s="47"/>
      <c r="E33" s="47"/>
      <c r="F33" s="321">
        <f>SUM('ISR '!N36+'ISR '!N41)</f>
        <v>34856.587991999986</v>
      </c>
      <c r="G33" s="39"/>
    </row>
    <row r="34" spans="2:12" x14ac:dyDescent="0.25">
      <c r="B34" s="302" t="s">
        <v>285</v>
      </c>
      <c r="C34" s="24" t="s">
        <v>301</v>
      </c>
      <c r="D34" s="47"/>
      <c r="E34" s="47"/>
      <c r="F34" s="321">
        <v>0</v>
      </c>
    </row>
    <row r="35" spans="2:12" x14ac:dyDescent="0.25">
      <c r="B35" s="302" t="s">
        <v>285</v>
      </c>
      <c r="C35" s="322" t="s">
        <v>318</v>
      </c>
      <c r="D35" s="322"/>
      <c r="E35" s="322"/>
      <c r="F35" s="321">
        <v>0</v>
      </c>
      <c r="G35" s="324"/>
      <c r="H35" s="278"/>
      <c r="I35" s="120"/>
      <c r="J35" s="120"/>
      <c r="K35" s="120"/>
      <c r="L35" s="120"/>
    </row>
    <row r="36" spans="2:12" x14ac:dyDescent="0.25">
      <c r="B36" s="302"/>
      <c r="C36" s="325"/>
      <c r="D36" s="325"/>
      <c r="E36" s="325"/>
      <c r="F36" s="390">
        <f>F33+F34+F35</f>
        <v>34856.587991999986</v>
      </c>
      <c r="G36" s="324"/>
      <c r="H36" s="278"/>
      <c r="I36" s="120"/>
      <c r="J36" s="120"/>
      <c r="K36" s="120"/>
      <c r="L36" s="120"/>
    </row>
    <row r="37" spans="2:12" x14ac:dyDescent="0.25">
      <c r="B37" s="302"/>
      <c r="C37" s="295"/>
      <c r="D37" s="295"/>
      <c r="E37" s="295"/>
      <c r="F37" s="323"/>
      <c r="G37" s="324"/>
      <c r="H37" s="278"/>
      <c r="I37" s="120"/>
      <c r="J37" s="120"/>
      <c r="K37" s="120"/>
      <c r="L37" s="120"/>
    </row>
    <row r="38" spans="2:12" x14ac:dyDescent="0.25">
      <c r="B38" s="302"/>
      <c r="C38" s="326" t="s">
        <v>302</v>
      </c>
      <c r="D38" s="278"/>
      <c r="E38" s="278"/>
      <c r="F38" s="327"/>
      <c r="G38" s="355">
        <f>G31-F33-F34-F35</f>
        <v>-106.80000000000291</v>
      </c>
      <c r="H38" s="278"/>
      <c r="I38" s="120"/>
      <c r="J38" s="120"/>
      <c r="K38" s="121"/>
      <c r="L38" s="120"/>
    </row>
    <row r="39" spans="2:12" ht="18" x14ac:dyDescent="0.25">
      <c r="C39" s="119"/>
      <c r="D39" s="278"/>
      <c r="E39" s="278"/>
      <c r="F39" s="327"/>
      <c r="G39" s="391" t="str">
        <f>IF(F36&gt;G31,"SALDO A FAVOR", "SALDO A CARGO")</f>
        <v>SALDO A FAVOR</v>
      </c>
      <c r="H39" s="278"/>
      <c r="I39" s="120"/>
      <c r="J39" s="120"/>
      <c r="K39" s="121"/>
      <c r="L39" s="120"/>
    </row>
    <row r="40" spans="2:12" x14ac:dyDescent="0.25">
      <c r="C40" s="119"/>
      <c r="D40" s="278"/>
      <c r="E40" s="278"/>
      <c r="F40" s="327"/>
      <c r="G40" s="324"/>
      <c r="H40" s="328"/>
      <c r="I40" s="120"/>
      <c r="J40" s="120"/>
      <c r="K40" s="121"/>
      <c r="L40" s="135"/>
    </row>
    <row r="41" spans="2:12" x14ac:dyDescent="0.25">
      <c r="C41" s="119"/>
      <c r="D41" s="278"/>
      <c r="E41" s="278"/>
      <c r="F41" s="327"/>
      <c r="G41" s="324"/>
      <c r="H41" s="328"/>
      <c r="I41" s="120"/>
      <c r="J41" s="120"/>
      <c r="K41" s="121"/>
      <c r="L41" s="120"/>
    </row>
    <row r="42" spans="2:12" ht="18" x14ac:dyDescent="0.4">
      <c r="C42" s="278"/>
      <c r="D42" s="278"/>
      <c r="E42" s="278"/>
      <c r="F42" s="327"/>
      <c r="G42" s="324"/>
      <c r="H42" s="278"/>
      <c r="I42" s="120"/>
      <c r="J42" s="120"/>
      <c r="K42" s="329"/>
      <c r="L42" s="120"/>
    </row>
    <row r="43" spans="2:12" x14ac:dyDescent="0.25">
      <c r="C43" s="278"/>
      <c r="D43" s="278"/>
      <c r="E43" s="278"/>
      <c r="F43" s="327"/>
      <c r="G43" s="324"/>
      <c r="H43" s="278"/>
      <c r="I43" s="120"/>
      <c r="J43" s="120"/>
      <c r="K43" s="120"/>
      <c r="L43" s="120"/>
    </row>
  </sheetData>
  <mergeCells count="6">
    <mergeCell ref="C15:E15"/>
    <mergeCell ref="C32:E32"/>
    <mergeCell ref="C35:E35"/>
    <mergeCell ref="J7:Q7"/>
    <mergeCell ref="K12:N12"/>
    <mergeCell ref="C11:G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showGridLines="0" workbookViewId="0">
      <selection activeCell="C41" sqref="C41"/>
    </sheetView>
  </sheetViews>
  <sheetFormatPr baseColWidth="10" defaultColWidth="9.140625" defaultRowHeight="15" x14ac:dyDescent="0.25"/>
  <cols>
    <col min="1" max="1" width="13" customWidth="1"/>
    <col min="2" max="2" width="27.42578125" bestFit="1" customWidth="1"/>
    <col min="3" max="3" width="12.140625" customWidth="1"/>
    <col min="4" max="4" width="17.28515625" bestFit="1" customWidth="1"/>
    <col min="5" max="15" width="12.140625" customWidth="1"/>
    <col min="257" max="257" width="13" customWidth="1"/>
    <col min="258" max="258" width="27.42578125" bestFit="1" customWidth="1"/>
    <col min="259" max="259" width="12.28515625" bestFit="1" customWidth="1"/>
    <col min="260" max="270" width="11.42578125" customWidth="1"/>
    <col min="271" max="271" width="12.28515625" bestFit="1" customWidth="1"/>
    <col min="513" max="513" width="13" customWidth="1"/>
    <col min="514" max="514" width="27.42578125" bestFit="1" customWidth="1"/>
    <col min="515" max="515" width="12.28515625" bestFit="1" customWidth="1"/>
    <col min="516" max="526" width="11.42578125" customWidth="1"/>
    <col min="527" max="527" width="12.28515625" bestFit="1" customWidth="1"/>
    <col min="769" max="769" width="13" customWidth="1"/>
    <col min="770" max="770" width="27.42578125" bestFit="1" customWidth="1"/>
    <col min="771" max="771" width="12.28515625" bestFit="1" customWidth="1"/>
    <col min="772" max="782" width="11.42578125" customWidth="1"/>
    <col min="783" max="783" width="12.28515625" bestFit="1" customWidth="1"/>
    <col min="1025" max="1025" width="13" customWidth="1"/>
    <col min="1026" max="1026" width="27.42578125" bestFit="1" customWidth="1"/>
    <col min="1027" max="1027" width="12.28515625" bestFit="1" customWidth="1"/>
    <col min="1028" max="1038" width="11.42578125" customWidth="1"/>
    <col min="1039" max="1039" width="12.28515625" bestFit="1" customWidth="1"/>
    <col min="1281" max="1281" width="13" customWidth="1"/>
    <col min="1282" max="1282" width="27.42578125" bestFit="1" customWidth="1"/>
    <col min="1283" max="1283" width="12.28515625" bestFit="1" customWidth="1"/>
    <col min="1284" max="1294" width="11.42578125" customWidth="1"/>
    <col min="1295" max="1295" width="12.28515625" bestFit="1" customWidth="1"/>
    <col min="1537" max="1537" width="13" customWidth="1"/>
    <col min="1538" max="1538" width="27.42578125" bestFit="1" customWidth="1"/>
    <col min="1539" max="1539" width="12.28515625" bestFit="1" customWidth="1"/>
    <col min="1540" max="1550" width="11.42578125" customWidth="1"/>
    <col min="1551" max="1551" width="12.28515625" bestFit="1" customWidth="1"/>
    <col min="1793" max="1793" width="13" customWidth="1"/>
    <col min="1794" max="1794" width="27.42578125" bestFit="1" customWidth="1"/>
    <col min="1795" max="1795" width="12.28515625" bestFit="1" customWidth="1"/>
    <col min="1796" max="1806" width="11.42578125" customWidth="1"/>
    <col min="1807" max="1807" width="12.28515625" bestFit="1" customWidth="1"/>
    <col min="2049" max="2049" width="13" customWidth="1"/>
    <col min="2050" max="2050" width="27.42578125" bestFit="1" customWidth="1"/>
    <col min="2051" max="2051" width="12.28515625" bestFit="1" customWidth="1"/>
    <col min="2052" max="2062" width="11.42578125" customWidth="1"/>
    <col min="2063" max="2063" width="12.28515625" bestFit="1" customWidth="1"/>
    <col min="2305" max="2305" width="13" customWidth="1"/>
    <col min="2306" max="2306" width="27.42578125" bestFit="1" customWidth="1"/>
    <col min="2307" max="2307" width="12.28515625" bestFit="1" customWidth="1"/>
    <col min="2308" max="2318" width="11.42578125" customWidth="1"/>
    <col min="2319" max="2319" width="12.28515625" bestFit="1" customWidth="1"/>
    <col min="2561" max="2561" width="13" customWidth="1"/>
    <col min="2562" max="2562" width="27.42578125" bestFit="1" customWidth="1"/>
    <col min="2563" max="2563" width="12.28515625" bestFit="1" customWidth="1"/>
    <col min="2564" max="2574" width="11.42578125" customWidth="1"/>
    <col min="2575" max="2575" width="12.28515625" bestFit="1" customWidth="1"/>
    <col min="2817" max="2817" width="13" customWidth="1"/>
    <col min="2818" max="2818" width="27.42578125" bestFit="1" customWidth="1"/>
    <col min="2819" max="2819" width="12.28515625" bestFit="1" customWidth="1"/>
    <col min="2820" max="2830" width="11.42578125" customWidth="1"/>
    <col min="2831" max="2831" width="12.28515625" bestFit="1" customWidth="1"/>
    <col min="3073" max="3073" width="13" customWidth="1"/>
    <col min="3074" max="3074" width="27.42578125" bestFit="1" customWidth="1"/>
    <col min="3075" max="3075" width="12.28515625" bestFit="1" customWidth="1"/>
    <col min="3076" max="3086" width="11.42578125" customWidth="1"/>
    <col min="3087" max="3087" width="12.28515625" bestFit="1" customWidth="1"/>
    <col min="3329" max="3329" width="13" customWidth="1"/>
    <col min="3330" max="3330" width="27.42578125" bestFit="1" customWidth="1"/>
    <col min="3331" max="3331" width="12.28515625" bestFit="1" customWidth="1"/>
    <col min="3332" max="3342" width="11.42578125" customWidth="1"/>
    <col min="3343" max="3343" width="12.28515625" bestFit="1" customWidth="1"/>
    <col min="3585" max="3585" width="13" customWidth="1"/>
    <col min="3586" max="3586" width="27.42578125" bestFit="1" customWidth="1"/>
    <col min="3587" max="3587" width="12.28515625" bestFit="1" customWidth="1"/>
    <col min="3588" max="3598" width="11.42578125" customWidth="1"/>
    <col min="3599" max="3599" width="12.28515625" bestFit="1" customWidth="1"/>
    <col min="3841" max="3841" width="13" customWidth="1"/>
    <col min="3842" max="3842" width="27.42578125" bestFit="1" customWidth="1"/>
    <col min="3843" max="3843" width="12.28515625" bestFit="1" customWidth="1"/>
    <col min="3844" max="3854" width="11.42578125" customWidth="1"/>
    <col min="3855" max="3855" width="12.28515625" bestFit="1" customWidth="1"/>
    <col min="4097" max="4097" width="13" customWidth="1"/>
    <col min="4098" max="4098" width="27.42578125" bestFit="1" customWidth="1"/>
    <col min="4099" max="4099" width="12.28515625" bestFit="1" customWidth="1"/>
    <col min="4100" max="4110" width="11.42578125" customWidth="1"/>
    <col min="4111" max="4111" width="12.28515625" bestFit="1" customWidth="1"/>
    <col min="4353" max="4353" width="13" customWidth="1"/>
    <col min="4354" max="4354" width="27.42578125" bestFit="1" customWidth="1"/>
    <col min="4355" max="4355" width="12.28515625" bestFit="1" customWidth="1"/>
    <col min="4356" max="4366" width="11.42578125" customWidth="1"/>
    <col min="4367" max="4367" width="12.28515625" bestFit="1" customWidth="1"/>
    <col min="4609" max="4609" width="13" customWidth="1"/>
    <col min="4610" max="4610" width="27.42578125" bestFit="1" customWidth="1"/>
    <col min="4611" max="4611" width="12.28515625" bestFit="1" customWidth="1"/>
    <col min="4612" max="4622" width="11.42578125" customWidth="1"/>
    <col min="4623" max="4623" width="12.28515625" bestFit="1" customWidth="1"/>
    <col min="4865" max="4865" width="13" customWidth="1"/>
    <col min="4866" max="4866" width="27.42578125" bestFit="1" customWidth="1"/>
    <col min="4867" max="4867" width="12.28515625" bestFit="1" customWidth="1"/>
    <col min="4868" max="4878" width="11.42578125" customWidth="1"/>
    <col min="4879" max="4879" width="12.28515625" bestFit="1" customWidth="1"/>
    <col min="5121" max="5121" width="13" customWidth="1"/>
    <col min="5122" max="5122" width="27.42578125" bestFit="1" customWidth="1"/>
    <col min="5123" max="5123" width="12.28515625" bestFit="1" customWidth="1"/>
    <col min="5124" max="5134" width="11.42578125" customWidth="1"/>
    <col min="5135" max="5135" width="12.28515625" bestFit="1" customWidth="1"/>
    <col min="5377" max="5377" width="13" customWidth="1"/>
    <col min="5378" max="5378" width="27.42578125" bestFit="1" customWidth="1"/>
    <col min="5379" max="5379" width="12.28515625" bestFit="1" customWidth="1"/>
    <col min="5380" max="5390" width="11.42578125" customWidth="1"/>
    <col min="5391" max="5391" width="12.28515625" bestFit="1" customWidth="1"/>
    <col min="5633" max="5633" width="13" customWidth="1"/>
    <col min="5634" max="5634" width="27.42578125" bestFit="1" customWidth="1"/>
    <col min="5635" max="5635" width="12.28515625" bestFit="1" customWidth="1"/>
    <col min="5636" max="5646" width="11.42578125" customWidth="1"/>
    <col min="5647" max="5647" width="12.28515625" bestFit="1" customWidth="1"/>
    <col min="5889" max="5889" width="13" customWidth="1"/>
    <col min="5890" max="5890" width="27.42578125" bestFit="1" customWidth="1"/>
    <col min="5891" max="5891" width="12.28515625" bestFit="1" customWidth="1"/>
    <col min="5892" max="5902" width="11.42578125" customWidth="1"/>
    <col min="5903" max="5903" width="12.28515625" bestFit="1" customWidth="1"/>
    <col min="6145" max="6145" width="13" customWidth="1"/>
    <col min="6146" max="6146" width="27.42578125" bestFit="1" customWidth="1"/>
    <col min="6147" max="6147" width="12.28515625" bestFit="1" customWidth="1"/>
    <col min="6148" max="6158" width="11.42578125" customWidth="1"/>
    <col min="6159" max="6159" width="12.28515625" bestFit="1" customWidth="1"/>
    <col min="6401" max="6401" width="13" customWidth="1"/>
    <col min="6402" max="6402" width="27.42578125" bestFit="1" customWidth="1"/>
    <col min="6403" max="6403" width="12.28515625" bestFit="1" customWidth="1"/>
    <col min="6404" max="6414" width="11.42578125" customWidth="1"/>
    <col min="6415" max="6415" width="12.28515625" bestFit="1" customWidth="1"/>
    <col min="6657" max="6657" width="13" customWidth="1"/>
    <col min="6658" max="6658" width="27.42578125" bestFit="1" customWidth="1"/>
    <col min="6659" max="6659" width="12.28515625" bestFit="1" customWidth="1"/>
    <col min="6660" max="6670" width="11.42578125" customWidth="1"/>
    <col min="6671" max="6671" width="12.28515625" bestFit="1" customWidth="1"/>
    <col min="6913" max="6913" width="13" customWidth="1"/>
    <col min="6914" max="6914" width="27.42578125" bestFit="1" customWidth="1"/>
    <col min="6915" max="6915" width="12.28515625" bestFit="1" customWidth="1"/>
    <col min="6916" max="6926" width="11.42578125" customWidth="1"/>
    <col min="6927" max="6927" width="12.28515625" bestFit="1" customWidth="1"/>
    <col min="7169" max="7169" width="13" customWidth="1"/>
    <col min="7170" max="7170" width="27.42578125" bestFit="1" customWidth="1"/>
    <col min="7171" max="7171" width="12.28515625" bestFit="1" customWidth="1"/>
    <col min="7172" max="7182" width="11.42578125" customWidth="1"/>
    <col min="7183" max="7183" width="12.28515625" bestFit="1" customWidth="1"/>
    <col min="7425" max="7425" width="13" customWidth="1"/>
    <col min="7426" max="7426" width="27.42578125" bestFit="1" customWidth="1"/>
    <col min="7427" max="7427" width="12.28515625" bestFit="1" customWidth="1"/>
    <col min="7428" max="7438" width="11.42578125" customWidth="1"/>
    <col min="7439" max="7439" width="12.28515625" bestFit="1" customWidth="1"/>
    <col min="7681" max="7681" width="13" customWidth="1"/>
    <col min="7682" max="7682" width="27.42578125" bestFit="1" customWidth="1"/>
    <col min="7683" max="7683" width="12.28515625" bestFit="1" customWidth="1"/>
    <col min="7684" max="7694" width="11.42578125" customWidth="1"/>
    <col min="7695" max="7695" width="12.28515625" bestFit="1" customWidth="1"/>
    <col min="7937" max="7937" width="13" customWidth="1"/>
    <col min="7938" max="7938" width="27.42578125" bestFit="1" customWidth="1"/>
    <col min="7939" max="7939" width="12.28515625" bestFit="1" customWidth="1"/>
    <col min="7940" max="7950" width="11.42578125" customWidth="1"/>
    <col min="7951" max="7951" width="12.28515625" bestFit="1" customWidth="1"/>
    <col min="8193" max="8193" width="13" customWidth="1"/>
    <col min="8194" max="8194" width="27.42578125" bestFit="1" customWidth="1"/>
    <col min="8195" max="8195" width="12.28515625" bestFit="1" customWidth="1"/>
    <col min="8196" max="8206" width="11.42578125" customWidth="1"/>
    <col min="8207" max="8207" width="12.28515625" bestFit="1" customWidth="1"/>
    <col min="8449" max="8449" width="13" customWidth="1"/>
    <col min="8450" max="8450" width="27.42578125" bestFit="1" customWidth="1"/>
    <col min="8451" max="8451" width="12.28515625" bestFit="1" customWidth="1"/>
    <col min="8452" max="8462" width="11.42578125" customWidth="1"/>
    <col min="8463" max="8463" width="12.28515625" bestFit="1" customWidth="1"/>
    <col min="8705" max="8705" width="13" customWidth="1"/>
    <col min="8706" max="8706" width="27.42578125" bestFit="1" customWidth="1"/>
    <col min="8707" max="8707" width="12.28515625" bestFit="1" customWidth="1"/>
    <col min="8708" max="8718" width="11.42578125" customWidth="1"/>
    <col min="8719" max="8719" width="12.28515625" bestFit="1" customWidth="1"/>
    <col min="8961" max="8961" width="13" customWidth="1"/>
    <col min="8962" max="8962" width="27.42578125" bestFit="1" customWidth="1"/>
    <col min="8963" max="8963" width="12.28515625" bestFit="1" customWidth="1"/>
    <col min="8964" max="8974" width="11.42578125" customWidth="1"/>
    <col min="8975" max="8975" width="12.28515625" bestFit="1" customWidth="1"/>
    <col min="9217" max="9217" width="13" customWidth="1"/>
    <col min="9218" max="9218" width="27.42578125" bestFit="1" customWidth="1"/>
    <col min="9219" max="9219" width="12.28515625" bestFit="1" customWidth="1"/>
    <col min="9220" max="9230" width="11.42578125" customWidth="1"/>
    <col min="9231" max="9231" width="12.28515625" bestFit="1" customWidth="1"/>
    <col min="9473" max="9473" width="13" customWidth="1"/>
    <col min="9474" max="9474" width="27.42578125" bestFit="1" customWidth="1"/>
    <col min="9475" max="9475" width="12.28515625" bestFit="1" customWidth="1"/>
    <col min="9476" max="9486" width="11.42578125" customWidth="1"/>
    <col min="9487" max="9487" width="12.28515625" bestFit="1" customWidth="1"/>
    <col min="9729" max="9729" width="13" customWidth="1"/>
    <col min="9730" max="9730" width="27.42578125" bestFit="1" customWidth="1"/>
    <col min="9731" max="9731" width="12.28515625" bestFit="1" customWidth="1"/>
    <col min="9732" max="9742" width="11.42578125" customWidth="1"/>
    <col min="9743" max="9743" width="12.28515625" bestFit="1" customWidth="1"/>
    <col min="9985" max="9985" width="13" customWidth="1"/>
    <col min="9986" max="9986" width="27.42578125" bestFit="1" customWidth="1"/>
    <col min="9987" max="9987" width="12.28515625" bestFit="1" customWidth="1"/>
    <col min="9988" max="9998" width="11.42578125" customWidth="1"/>
    <col min="9999" max="9999" width="12.28515625" bestFit="1" customWidth="1"/>
    <col min="10241" max="10241" width="13" customWidth="1"/>
    <col min="10242" max="10242" width="27.42578125" bestFit="1" customWidth="1"/>
    <col min="10243" max="10243" width="12.28515625" bestFit="1" customWidth="1"/>
    <col min="10244" max="10254" width="11.42578125" customWidth="1"/>
    <col min="10255" max="10255" width="12.28515625" bestFit="1" customWidth="1"/>
    <col min="10497" max="10497" width="13" customWidth="1"/>
    <col min="10498" max="10498" width="27.42578125" bestFit="1" customWidth="1"/>
    <col min="10499" max="10499" width="12.28515625" bestFit="1" customWidth="1"/>
    <col min="10500" max="10510" width="11.42578125" customWidth="1"/>
    <col min="10511" max="10511" width="12.28515625" bestFit="1" customWidth="1"/>
    <col min="10753" max="10753" width="13" customWidth="1"/>
    <col min="10754" max="10754" width="27.42578125" bestFit="1" customWidth="1"/>
    <col min="10755" max="10755" width="12.28515625" bestFit="1" customWidth="1"/>
    <col min="10756" max="10766" width="11.42578125" customWidth="1"/>
    <col min="10767" max="10767" width="12.28515625" bestFit="1" customWidth="1"/>
    <col min="11009" max="11009" width="13" customWidth="1"/>
    <col min="11010" max="11010" width="27.42578125" bestFit="1" customWidth="1"/>
    <col min="11011" max="11011" width="12.28515625" bestFit="1" customWidth="1"/>
    <col min="11012" max="11022" width="11.42578125" customWidth="1"/>
    <col min="11023" max="11023" width="12.28515625" bestFit="1" customWidth="1"/>
    <col min="11265" max="11265" width="13" customWidth="1"/>
    <col min="11266" max="11266" width="27.42578125" bestFit="1" customWidth="1"/>
    <col min="11267" max="11267" width="12.28515625" bestFit="1" customWidth="1"/>
    <col min="11268" max="11278" width="11.42578125" customWidth="1"/>
    <col min="11279" max="11279" width="12.28515625" bestFit="1" customWidth="1"/>
    <col min="11521" max="11521" width="13" customWidth="1"/>
    <col min="11522" max="11522" width="27.42578125" bestFit="1" customWidth="1"/>
    <col min="11523" max="11523" width="12.28515625" bestFit="1" customWidth="1"/>
    <col min="11524" max="11534" width="11.42578125" customWidth="1"/>
    <col min="11535" max="11535" width="12.28515625" bestFit="1" customWidth="1"/>
    <col min="11777" max="11777" width="13" customWidth="1"/>
    <col min="11778" max="11778" width="27.42578125" bestFit="1" customWidth="1"/>
    <col min="11779" max="11779" width="12.28515625" bestFit="1" customWidth="1"/>
    <col min="11780" max="11790" width="11.42578125" customWidth="1"/>
    <col min="11791" max="11791" width="12.28515625" bestFit="1" customWidth="1"/>
    <col min="12033" max="12033" width="13" customWidth="1"/>
    <col min="12034" max="12034" width="27.42578125" bestFit="1" customWidth="1"/>
    <col min="12035" max="12035" width="12.28515625" bestFit="1" customWidth="1"/>
    <col min="12036" max="12046" width="11.42578125" customWidth="1"/>
    <col min="12047" max="12047" width="12.28515625" bestFit="1" customWidth="1"/>
    <col min="12289" max="12289" width="13" customWidth="1"/>
    <col min="12290" max="12290" width="27.42578125" bestFit="1" customWidth="1"/>
    <col min="12291" max="12291" width="12.28515625" bestFit="1" customWidth="1"/>
    <col min="12292" max="12302" width="11.42578125" customWidth="1"/>
    <col min="12303" max="12303" width="12.28515625" bestFit="1" customWidth="1"/>
    <col min="12545" max="12545" width="13" customWidth="1"/>
    <col min="12546" max="12546" width="27.42578125" bestFit="1" customWidth="1"/>
    <col min="12547" max="12547" width="12.28515625" bestFit="1" customWidth="1"/>
    <col min="12548" max="12558" width="11.42578125" customWidth="1"/>
    <col min="12559" max="12559" width="12.28515625" bestFit="1" customWidth="1"/>
    <col min="12801" max="12801" width="13" customWidth="1"/>
    <col min="12802" max="12802" width="27.42578125" bestFit="1" customWidth="1"/>
    <col min="12803" max="12803" width="12.28515625" bestFit="1" customWidth="1"/>
    <col min="12804" max="12814" width="11.42578125" customWidth="1"/>
    <col min="12815" max="12815" width="12.28515625" bestFit="1" customWidth="1"/>
    <col min="13057" max="13057" width="13" customWidth="1"/>
    <col min="13058" max="13058" width="27.42578125" bestFit="1" customWidth="1"/>
    <col min="13059" max="13059" width="12.28515625" bestFit="1" customWidth="1"/>
    <col min="13060" max="13070" width="11.42578125" customWidth="1"/>
    <col min="13071" max="13071" width="12.28515625" bestFit="1" customWidth="1"/>
    <col min="13313" max="13313" width="13" customWidth="1"/>
    <col min="13314" max="13314" width="27.42578125" bestFit="1" customWidth="1"/>
    <col min="13315" max="13315" width="12.28515625" bestFit="1" customWidth="1"/>
    <col min="13316" max="13326" width="11.42578125" customWidth="1"/>
    <col min="13327" max="13327" width="12.28515625" bestFit="1" customWidth="1"/>
    <col min="13569" max="13569" width="13" customWidth="1"/>
    <col min="13570" max="13570" width="27.42578125" bestFit="1" customWidth="1"/>
    <col min="13571" max="13571" width="12.28515625" bestFit="1" customWidth="1"/>
    <col min="13572" max="13582" width="11.42578125" customWidth="1"/>
    <col min="13583" max="13583" width="12.28515625" bestFit="1" customWidth="1"/>
    <col min="13825" max="13825" width="13" customWidth="1"/>
    <col min="13826" max="13826" width="27.42578125" bestFit="1" customWidth="1"/>
    <col min="13827" max="13827" width="12.28515625" bestFit="1" customWidth="1"/>
    <col min="13828" max="13838" width="11.42578125" customWidth="1"/>
    <col min="13839" max="13839" width="12.28515625" bestFit="1" customWidth="1"/>
    <col min="14081" max="14081" width="13" customWidth="1"/>
    <col min="14082" max="14082" width="27.42578125" bestFit="1" customWidth="1"/>
    <col min="14083" max="14083" width="12.28515625" bestFit="1" customWidth="1"/>
    <col min="14084" max="14094" width="11.42578125" customWidth="1"/>
    <col min="14095" max="14095" width="12.28515625" bestFit="1" customWidth="1"/>
    <col min="14337" max="14337" width="13" customWidth="1"/>
    <col min="14338" max="14338" width="27.42578125" bestFit="1" customWidth="1"/>
    <col min="14339" max="14339" width="12.28515625" bestFit="1" customWidth="1"/>
    <col min="14340" max="14350" width="11.42578125" customWidth="1"/>
    <col min="14351" max="14351" width="12.28515625" bestFit="1" customWidth="1"/>
    <col min="14593" max="14593" width="13" customWidth="1"/>
    <col min="14594" max="14594" width="27.42578125" bestFit="1" customWidth="1"/>
    <col min="14595" max="14595" width="12.28515625" bestFit="1" customWidth="1"/>
    <col min="14596" max="14606" width="11.42578125" customWidth="1"/>
    <col min="14607" max="14607" width="12.28515625" bestFit="1" customWidth="1"/>
    <col min="14849" max="14849" width="13" customWidth="1"/>
    <col min="14850" max="14850" width="27.42578125" bestFit="1" customWidth="1"/>
    <col min="14851" max="14851" width="12.28515625" bestFit="1" customWidth="1"/>
    <col min="14852" max="14862" width="11.42578125" customWidth="1"/>
    <col min="14863" max="14863" width="12.28515625" bestFit="1" customWidth="1"/>
    <col min="15105" max="15105" width="13" customWidth="1"/>
    <col min="15106" max="15106" width="27.42578125" bestFit="1" customWidth="1"/>
    <col min="15107" max="15107" width="12.28515625" bestFit="1" customWidth="1"/>
    <col min="15108" max="15118" width="11.42578125" customWidth="1"/>
    <col min="15119" max="15119" width="12.28515625" bestFit="1" customWidth="1"/>
    <col min="15361" max="15361" width="13" customWidth="1"/>
    <col min="15362" max="15362" width="27.42578125" bestFit="1" customWidth="1"/>
    <col min="15363" max="15363" width="12.28515625" bestFit="1" customWidth="1"/>
    <col min="15364" max="15374" width="11.42578125" customWidth="1"/>
    <col min="15375" max="15375" width="12.28515625" bestFit="1" customWidth="1"/>
    <col min="15617" max="15617" width="13" customWidth="1"/>
    <col min="15618" max="15618" width="27.42578125" bestFit="1" customWidth="1"/>
    <col min="15619" max="15619" width="12.28515625" bestFit="1" customWidth="1"/>
    <col min="15620" max="15630" width="11.42578125" customWidth="1"/>
    <col min="15631" max="15631" width="12.28515625" bestFit="1" customWidth="1"/>
    <col min="15873" max="15873" width="13" customWidth="1"/>
    <col min="15874" max="15874" width="27.42578125" bestFit="1" customWidth="1"/>
    <col min="15875" max="15875" width="12.28515625" bestFit="1" customWidth="1"/>
    <col min="15876" max="15886" width="11.42578125" customWidth="1"/>
    <col min="15887" max="15887" width="12.28515625" bestFit="1" customWidth="1"/>
    <col min="16129" max="16129" width="13" customWidth="1"/>
    <col min="16130" max="16130" width="27.42578125" bestFit="1" customWidth="1"/>
    <col min="16131" max="16131" width="12.28515625" bestFit="1" customWidth="1"/>
    <col min="16132" max="16142" width="11.42578125" customWidth="1"/>
    <col min="16143" max="16143" width="12.28515625" bestFit="1" customWidth="1"/>
  </cols>
  <sheetData>
    <row r="1" spans="1:24" x14ac:dyDescent="0.25">
      <c r="A1" s="76"/>
      <c r="B1" s="77"/>
    </row>
    <row r="2" spans="1:24" x14ac:dyDescent="0.25">
      <c r="A2" s="78" t="s">
        <v>55</v>
      </c>
      <c r="B2" s="78"/>
      <c r="C2" s="78"/>
      <c r="D2" s="78"/>
      <c r="E2" s="78"/>
      <c r="F2" s="78"/>
      <c r="G2" s="78"/>
      <c r="H2" s="78"/>
      <c r="I2" s="78"/>
      <c r="J2" s="78"/>
      <c r="K2" s="78"/>
      <c r="L2" s="78"/>
      <c r="M2" s="78"/>
      <c r="N2" s="78"/>
    </row>
    <row r="3" spans="1:24" s="80" customFormat="1" ht="14.45" customHeight="1" x14ac:dyDescent="0.2">
      <c r="A3" s="79" t="s">
        <v>56</v>
      </c>
      <c r="B3" s="79"/>
      <c r="C3" s="79"/>
      <c r="D3" s="79"/>
      <c r="E3" s="79"/>
      <c r="F3" s="79"/>
      <c r="G3" s="79"/>
      <c r="H3" s="79"/>
      <c r="I3" s="79"/>
      <c r="J3" s="79"/>
      <c r="K3" s="79"/>
      <c r="L3" s="79"/>
      <c r="M3" s="79"/>
      <c r="N3" s="79"/>
    </row>
    <row r="4" spans="1:24" x14ac:dyDescent="0.25">
      <c r="N4" t="s">
        <v>0</v>
      </c>
    </row>
    <row r="5" spans="1:24" x14ac:dyDescent="0.25">
      <c r="A5" s="81" t="s">
        <v>57</v>
      </c>
      <c r="B5" s="81" t="s">
        <v>58</v>
      </c>
      <c r="C5" s="81" t="s">
        <v>59</v>
      </c>
      <c r="D5" s="81" t="s">
        <v>60</v>
      </c>
      <c r="E5" s="81" t="s">
        <v>61</v>
      </c>
      <c r="F5" s="81" t="s">
        <v>62</v>
      </c>
      <c r="G5" s="81" t="s">
        <v>63</v>
      </c>
      <c r="H5" s="81" t="s">
        <v>64</v>
      </c>
      <c r="I5" s="81" t="s">
        <v>65</v>
      </c>
      <c r="J5" s="81" t="s">
        <v>66</v>
      </c>
      <c r="K5" s="81" t="s">
        <v>67</v>
      </c>
      <c r="L5" s="81" t="s">
        <v>68</v>
      </c>
      <c r="M5" s="81" t="s">
        <v>69</v>
      </c>
      <c r="N5" s="81" t="s">
        <v>70</v>
      </c>
      <c r="O5" s="81" t="s">
        <v>71</v>
      </c>
      <c r="P5" s="12"/>
    </row>
    <row r="6" spans="1:24" x14ac:dyDescent="0.25">
      <c r="C6" s="81">
        <v>1</v>
      </c>
      <c r="D6" s="81">
        <v>2</v>
      </c>
      <c r="E6" s="81">
        <v>3</v>
      </c>
      <c r="F6" s="81">
        <v>4</v>
      </c>
      <c r="G6" s="81">
        <v>5</v>
      </c>
      <c r="H6" s="81">
        <v>6</v>
      </c>
      <c r="I6" s="81">
        <v>7</v>
      </c>
      <c r="J6" s="81">
        <v>8</v>
      </c>
      <c r="K6" s="81">
        <v>9</v>
      </c>
      <c r="L6" s="81">
        <v>10</v>
      </c>
      <c r="M6" s="81">
        <v>11</v>
      </c>
      <c r="N6" s="81">
        <v>12</v>
      </c>
    </row>
    <row r="7" spans="1:24" x14ac:dyDescent="0.25">
      <c r="A7" s="82"/>
      <c r="C7" s="16"/>
      <c r="D7" s="16"/>
      <c r="E7" s="16"/>
      <c r="F7" s="16"/>
      <c r="G7" s="16"/>
      <c r="H7" s="16"/>
      <c r="I7" s="16"/>
      <c r="J7" s="16"/>
      <c r="K7" s="16"/>
      <c r="L7" s="16"/>
      <c r="M7" s="16"/>
      <c r="N7" s="16"/>
      <c r="O7" s="16"/>
    </row>
    <row r="8" spans="1:24" x14ac:dyDescent="0.25">
      <c r="A8" s="20" t="s">
        <v>0</v>
      </c>
      <c r="B8" s="24" t="s">
        <v>72</v>
      </c>
      <c r="C8" s="20"/>
      <c r="D8" s="83"/>
      <c r="E8" s="83"/>
      <c r="F8" s="83"/>
      <c r="G8" s="83"/>
      <c r="H8" s="83"/>
      <c r="I8" s="83"/>
      <c r="J8" s="83"/>
      <c r="K8" s="83"/>
      <c r="L8" s="83"/>
      <c r="M8" s="16"/>
      <c r="N8" s="16"/>
      <c r="O8" s="16"/>
    </row>
    <row r="9" spans="1:24" s="85" customFormat="1" x14ac:dyDescent="0.25">
      <c r="A9" s="20">
        <v>12</v>
      </c>
      <c r="B9" s="20" t="s">
        <v>73</v>
      </c>
      <c r="C9" s="84">
        <f>'ISR '!C10</f>
        <v>30000</v>
      </c>
      <c r="D9" s="84">
        <v>0</v>
      </c>
      <c r="E9" s="84">
        <v>0</v>
      </c>
      <c r="F9" s="84">
        <v>0</v>
      </c>
      <c r="G9" s="84">
        <v>0</v>
      </c>
      <c r="H9" s="84">
        <v>0</v>
      </c>
      <c r="I9" s="84">
        <v>0</v>
      </c>
      <c r="J9" s="84">
        <v>0</v>
      </c>
      <c r="K9" s="84">
        <v>0</v>
      </c>
      <c r="L9" s="84">
        <v>0</v>
      </c>
      <c r="M9" s="84">
        <v>0</v>
      </c>
      <c r="N9" s="84">
        <v>0</v>
      </c>
      <c r="O9" s="84">
        <f t="shared" ref="O9:O16" si="0">SUM(C9:N9)</f>
        <v>30000</v>
      </c>
      <c r="P9" s="20" t="s">
        <v>0</v>
      </c>
      <c r="Q9" s="20"/>
      <c r="R9" s="20"/>
      <c r="S9" s="20"/>
      <c r="T9" s="20"/>
      <c r="U9" s="20"/>
      <c r="V9" s="20"/>
      <c r="W9" s="20"/>
      <c r="X9" s="20"/>
    </row>
    <row r="10" spans="1:24" x14ac:dyDescent="0.25">
      <c r="A10" s="20">
        <v>13</v>
      </c>
      <c r="B10" s="20" t="s">
        <v>74</v>
      </c>
      <c r="C10" s="84">
        <v>0</v>
      </c>
      <c r="D10" s="84">
        <v>0</v>
      </c>
      <c r="E10" s="84">
        <v>0</v>
      </c>
      <c r="F10" s="84">
        <v>0</v>
      </c>
      <c r="G10" s="84">
        <v>0</v>
      </c>
      <c r="H10" s="84">
        <v>0</v>
      </c>
      <c r="I10" s="84">
        <v>0</v>
      </c>
      <c r="J10" s="84">
        <v>0</v>
      </c>
      <c r="K10" s="84">
        <v>0</v>
      </c>
      <c r="L10" s="84">
        <v>0</v>
      </c>
      <c r="M10" s="16">
        <v>0</v>
      </c>
      <c r="N10" s="16">
        <v>0</v>
      </c>
      <c r="O10" s="16">
        <f t="shared" si="0"/>
        <v>0</v>
      </c>
    </row>
    <row r="11" spans="1:24" x14ac:dyDescent="0.25">
      <c r="A11" s="20">
        <v>3</v>
      </c>
      <c r="B11" s="20" t="s">
        <v>75</v>
      </c>
      <c r="C11" s="84">
        <v>0</v>
      </c>
      <c r="D11" s="84">
        <v>0</v>
      </c>
      <c r="E11" s="84">
        <v>0</v>
      </c>
      <c r="F11" s="84">
        <v>0</v>
      </c>
      <c r="G11" s="84">
        <v>0</v>
      </c>
      <c r="H11" s="84">
        <v>0</v>
      </c>
      <c r="I11" s="84">
        <v>0</v>
      </c>
      <c r="J11" s="84">
        <v>0</v>
      </c>
      <c r="K11" s="84">
        <v>0</v>
      </c>
      <c r="L11" s="84">
        <v>0</v>
      </c>
      <c r="M11" s="16">
        <v>0</v>
      </c>
      <c r="N11" s="16">
        <v>0</v>
      </c>
      <c r="O11" s="16">
        <f t="shared" si="0"/>
        <v>0</v>
      </c>
    </row>
    <row r="12" spans="1:24" x14ac:dyDescent="0.25">
      <c r="A12" s="20">
        <v>4</v>
      </c>
      <c r="B12" s="20" t="s">
        <v>76</v>
      </c>
      <c r="C12" s="84">
        <v>0</v>
      </c>
      <c r="D12" s="84">
        <v>0</v>
      </c>
      <c r="E12" s="84">
        <v>0</v>
      </c>
      <c r="F12" s="84">
        <v>0</v>
      </c>
      <c r="G12" s="84">
        <v>0</v>
      </c>
      <c r="H12" s="84">
        <v>0</v>
      </c>
      <c r="I12" s="84">
        <v>0</v>
      </c>
      <c r="J12" s="84">
        <v>0</v>
      </c>
      <c r="K12" s="84">
        <v>0</v>
      </c>
      <c r="L12" s="84">
        <v>0</v>
      </c>
      <c r="M12" s="16">
        <v>0</v>
      </c>
      <c r="N12" s="16">
        <v>0</v>
      </c>
      <c r="O12" s="16">
        <f t="shared" si="0"/>
        <v>0</v>
      </c>
    </row>
    <row r="13" spans="1:24" x14ac:dyDescent="0.25">
      <c r="A13" s="20">
        <v>1</v>
      </c>
      <c r="B13" s="20" t="s">
        <v>77</v>
      </c>
      <c r="C13" s="84">
        <v>0</v>
      </c>
      <c r="D13" s="84">
        <v>0</v>
      </c>
      <c r="E13" s="84">
        <v>0</v>
      </c>
      <c r="F13" s="84">
        <v>0</v>
      </c>
      <c r="G13" s="84">
        <v>0</v>
      </c>
      <c r="H13" s="84">
        <v>0</v>
      </c>
      <c r="I13" s="84">
        <v>0</v>
      </c>
      <c r="J13" s="84">
        <v>0</v>
      </c>
      <c r="K13" s="84">
        <v>0</v>
      </c>
      <c r="L13" s="84">
        <v>0</v>
      </c>
      <c r="M13" s="16">
        <v>0</v>
      </c>
      <c r="N13" s="16">
        <v>0</v>
      </c>
      <c r="O13" s="16">
        <f t="shared" si="0"/>
        <v>0</v>
      </c>
      <c r="P13" t="s">
        <v>0</v>
      </c>
    </row>
    <row r="14" spans="1:24" x14ac:dyDescent="0.25">
      <c r="A14" s="20">
        <v>2</v>
      </c>
      <c r="B14" s="20" t="s">
        <v>78</v>
      </c>
      <c r="C14" s="84">
        <v>0</v>
      </c>
      <c r="D14" s="84">
        <v>0</v>
      </c>
      <c r="E14" s="84">
        <v>0</v>
      </c>
      <c r="F14" s="84">
        <v>0</v>
      </c>
      <c r="G14" s="84">
        <v>0</v>
      </c>
      <c r="H14" s="84">
        <v>0</v>
      </c>
      <c r="I14" s="84">
        <v>0</v>
      </c>
      <c r="J14" s="84">
        <v>0</v>
      </c>
      <c r="K14" s="84">
        <v>0</v>
      </c>
      <c r="L14" s="84">
        <v>0</v>
      </c>
      <c r="M14" s="16">
        <v>0</v>
      </c>
      <c r="N14" s="16">
        <v>0</v>
      </c>
      <c r="O14" s="16">
        <f t="shared" si="0"/>
        <v>0</v>
      </c>
    </row>
    <row r="15" spans="1:24" x14ac:dyDescent="0.25">
      <c r="A15" s="20">
        <v>5</v>
      </c>
      <c r="B15" s="20" t="s">
        <v>79</v>
      </c>
      <c r="C15" s="84">
        <v>0</v>
      </c>
      <c r="D15" s="84">
        <v>0</v>
      </c>
      <c r="E15" s="84">
        <v>0</v>
      </c>
      <c r="F15" s="84">
        <v>0</v>
      </c>
      <c r="G15" s="84">
        <v>0</v>
      </c>
      <c r="H15" s="84">
        <v>0</v>
      </c>
      <c r="I15" s="84">
        <v>0</v>
      </c>
      <c r="J15" s="84">
        <v>0</v>
      </c>
      <c r="K15" s="84">
        <v>0</v>
      </c>
      <c r="L15" s="84">
        <v>0</v>
      </c>
      <c r="M15" s="16">
        <v>0</v>
      </c>
      <c r="N15" s="16">
        <v>0</v>
      </c>
      <c r="O15" s="16">
        <f t="shared" si="0"/>
        <v>0</v>
      </c>
    </row>
    <row r="16" spans="1:24" ht="15.75" thickBot="1" x14ac:dyDescent="0.3">
      <c r="A16" s="20"/>
      <c r="B16" s="86" t="s">
        <v>80</v>
      </c>
      <c r="C16" s="87">
        <f>SUM(C9:C15)</f>
        <v>30000</v>
      </c>
      <c r="D16" s="87">
        <f t="shared" ref="D16:N16" si="1">SUM(D9:D15)</f>
        <v>0</v>
      </c>
      <c r="E16" s="87">
        <f t="shared" si="1"/>
        <v>0</v>
      </c>
      <c r="F16" s="87">
        <f t="shared" si="1"/>
        <v>0</v>
      </c>
      <c r="G16" s="87">
        <f t="shared" si="1"/>
        <v>0</v>
      </c>
      <c r="H16" s="87">
        <f t="shared" si="1"/>
        <v>0</v>
      </c>
      <c r="I16" s="87">
        <f t="shared" si="1"/>
        <v>0</v>
      </c>
      <c r="J16" s="87">
        <f t="shared" si="1"/>
        <v>0</v>
      </c>
      <c r="K16" s="87">
        <f t="shared" si="1"/>
        <v>0</v>
      </c>
      <c r="L16" s="87">
        <f t="shared" si="1"/>
        <v>0</v>
      </c>
      <c r="M16" s="88">
        <f t="shared" si="1"/>
        <v>0</v>
      </c>
      <c r="N16" s="88">
        <f t="shared" si="1"/>
        <v>0</v>
      </c>
      <c r="O16" s="88">
        <f t="shared" si="0"/>
        <v>30000</v>
      </c>
    </row>
    <row r="17" spans="1:15" ht="15.75" thickTop="1" x14ac:dyDescent="0.25">
      <c r="A17" s="20"/>
      <c r="B17" s="20"/>
      <c r="C17" s="20"/>
      <c r="D17" s="20"/>
      <c r="E17" s="20"/>
      <c r="F17" s="20"/>
      <c r="G17" s="20"/>
      <c r="H17" s="20"/>
      <c r="I17" s="20"/>
      <c r="J17" s="20"/>
      <c r="K17" s="20"/>
      <c r="L17" s="20"/>
    </row>
    <row r="18" spans="1:15" x14ac:dyDescent="0.25">
      <c r="A18" s="20">
        <v>12</v>
      </c>
      <c r="B18" s="20" t="s">
        <v>81</v>
      </c>
      <c r="C18" s="84">
        <f>C9*0.16</f>
        <v>4800</v>
      </c>
      <c r="D18" s="84">
        <f t="shared" ref="D18:N18" si="2">D9*0.16</f>
        <v>0</v>
      </c>
      <c r="E18" s="84">
        <f t="shared" si="2"/>
        <v>0</v>
      </c>
      <c r="F18" s="84">
        <f t="shared" si="2"/>
        <v>0</v>
      </c>
      <c r="G18" s="84">
        <f t="shared" si="2"/>
        <v>0</v>
      </c>
      <c r="H18" s="84">
        <f t="shared" si="2"/>
        <v>0</v>
      </c>
      <c r="I18" s="84">
        <f t="shared" si="2"/>
        <v>0</v>
      </c>
      <c r="J18" s="84">
        <f t="shared" si="2"/>
        <v>0</v>
      </c>
      <c r="K18" s="84">
        <f t="shared" si="2"/>
        <v>0</v>
      </c>
      <c r="L18" s="84">
        <f t="shared" si="2"/>
        <v>0</v>
      </c>
      <c r="M18" s="16">
        <f t="shared" si="2"/>
        <v>0</v>
      </c>
      <c r="N18" s="16">
        <f t="shared" si="2"/>
        <v>0</v>
      </c>
      <c r="O18" s="16">
        <f>SUM(C18:N18)</f>
        <v>4800</v>
      </c>
    </row>
    <row r="19" spans="1:15" x14ac:dyDescent="0.25">
      <c r="A19" s="20">
        <v>13</v>
      </c>
      <c r="B19" s="20" t="s">
        <v>82</v>
      </c>
      <c r="C19" s="84">
        <f>C10*0.8%</f>
        <v>0</v>
      </c>
      <c r="D19" s="84">
        <f t="shared" ref="D19:N19" si="3">D10*0.8%</f>
        <v>0</v>
      </c>
      <c r="E19" s="84">
        <f t="shared" si="3"/>
        <v>0</v>
      </c>
      <c r="F19" s="84">
        <f t="shared" si="3"/>
        <v>0</v>
      </c>
      <c r="G19" s="84">
        <f t="shared" si="3"/>
        <v>0</v>
      </c>
      <c r="H19" s="84">
        <f t="shared" si="3"/>
        <v>0</v>
      </c>
      <c r="I19" s="84">
        <f t="shared" si="3"/>
        <v>0</v>
      </c>
      <c r="J19" s="84">
        <f t="shared" si="3"/>
        <v>0</v>
      </c>
      <c r="K19" s="84">
        <f t="shared" si="3"/>
        <v>0</v>
      </c>
      <c r="L19" s="84">
        <f t="shared" si="3"/>
        <v>0</v>
      </c>
      <c r="M19" s="16">
        <f t="shared" si="3"/>
        <v>0</v>
      </c>
      <c r="N19" s="16">
        <f t="shared" si="3"/>
        <v>0</v>
      </c>
      <c r="O19" s="16">
        <f>SUM(C19:N19)</f>
        <v>0</v>
      </c>
    </row>
    <row r="20" spans="1:15" s="44" customFormat="1" x14ac:dyDescent="0.25">
      <c r="A20" s="44">
        <v>8</v>
      </c>
      <c r="B20" s="44" t="s">
        <v>83</v>
      </c>
      <c r="C20" s="96">
        <v>0</v>
      </c>
      <c r="D20" s="96">
        <v>0</v>
      </c>
      <c r="E20" s="96">
        <v>0</v>
      </c>
      <c r="F20" s="96">
        <v>0</v>
      </c>
      <c r="G20" s="96">
        <v>0</v>
      </c>
      <c r="H20" s="96">
        <v>0</v>
      </c>
      <c r="I20" s="96">
        <v>0</v>
      </c>
      <c r="J20" s="96">
        <v>0</v>
      </c>
      <c r="K20" s="96">
        <v>0</v>
      </c>
      <c r="L20" s="96">
        <v>0</v>
      </c>
      <c r="M20" s="96">
        <v>0</v>
      </c>
      <c r="N20" s="96">
        <v>0</v>
      </c>
      <c r="O20" s="96">
        <f>SUM(C20:N20)</f>
        <v>0</v>
      </c>
    </row>
    <row r="21" spans="1:15" ht="15.75" thickBot="1" x14ac:dyDescent="0.3">
      <c r="A21" s="20"/>
      <c r="B21" s="86" t="s">
        <v>84</v>
      </c>
      <c r="C21" s="87">
        <f>C18+C19-C20</f>
        <v>4800</v>
      </c>
      <c r="D21" s="87">
        <f t="shared" ref="D21:O21" si="4">D18+D19-D20</f>
        <v>0</v>
      </c>
      <c r="E21" s="87">
        <f t="shared" si="4"/>
        <v>0</v>
      </c>
      <c r="F21" s="87">
        <f t="shared" si="4"/>
        <v>0</v>
      </c>
      <c r="G21" s="87">
        <f t="shared" si="4"/>
        <v>0</v>
      </c>
      <c r="H21" s="87">
        <f t="shared" si="4"/>
        <v>0</v>
      </c>
      <c r="I21" s="87">
        <f t="shared" si="4"/>
        <v>0</v>
      </c>
      <c r="J21" s="87">
        <f t="shared" si="4"/>
        <v>0</v>
      </c>
      <c r="K21" s="87">
        <f t="shared" si="4"/>
        <v>0</v>
      </c>
      <c r="L21" s="87">
        <f t="shared" si="4"/>
        <v>0</v>
      </c>
      <c r="M21" s="88">
        <f t="shared" si="4"/>
        <v>0</v>
      </c>
      <c r="N21" s="88">
        <f t="shared" si="4"/>
        <v>0</v>
      </c>
      <c r="O21" s="88">
        <f t="shared" si="4"/>
        <v>4800</v>
      </c>
    </row>
    <row r="22" spans="1:15" ht="15.75" thickTop="1" x14ac:dyDescent="0.25">
      <c r="A22" s="20"/>
      <c r="B22" s="24"/>
      <c r="C22" s="89"/>
      <c r="D22" s="89"/>
      <c r="E22" s="89"/>
      <c r="F22" s="89"/>
      <c r="G22" s="89"/>
      <c r="H22" s="89"/>
      <c r="I22" s="89"/>
      <c r="J22" s="89"/>
      <c r="K22" s="89"/>
      <c r="L22" s="89"/>
      <c r="M22" s="90"/>
      <c r="N22" s="90"/>
      <c r="O22" s="90"/>
    </row>
    <row r="23" spans="1:15" x14ac:dyDescent="0.25">
      <c r="A23" s="20"/>
      <c r="B23" s="24" t="s">
        <v>85</v>
      </c>
      <c r="C23" s="84"/>
      <c r="D23" s="84"/>
      <c r="E23" s="84"/>
      <c r="F23" s="84"/>
      <c r="G23" s="84"/>
      <c r="H23" s="84" t="s">
        <v>0</v>
      </c>
      <c r="I23" s="84" t="s">
        <v>0</v>
      </c>
      <c r="J23" s="84"/>
      <c r="K23" s="84"/>
      <c r="L23" s="84"/>
      <c r="M23" s="16"/>
      <c r="N23" s="16"/>
      <c r="O23" s="16"/>
    </row>
    <row r="24" spans="1:15" x14ac:dyDescent="0.25">
      <c r="A24" s="20">
        <v>12</v>
      </c>
      <c r="B24" s="20" t="s">
        <v>86</v>
      </c>
      <c r="C24" s="84">
        <f>'ISR '!C16</f>
        <v>15000</v>
      </c>
      <c r="D24" s="84">
        <v>0</v>
      </c>
      <c r="E24" s="84">
        <v>0</v>
      </c>
      <c r="F24" s="84">
        <v>0</v>
      </c>
      <c r="G24" s="84">
        <v>0</v>
      </c>
      <c r="H24" s="84">
        <v>0</v>
      </c>
      <c r="I24" s="84">
        <v>0</v>
      </c>
      <c r="J24" s="84">
        <v>0</v>
      </c>
      <c r="K24" s="84">
        <v>0</v>
      </c>
      <c r="L24" s="84">
        <v>0</v>
      </c>
      <c r="M24" s="16">
        <v>0</v>
      </c>
      <c r="N24" s="16">
        <v>0</v>
      </c>
      <c r="O24" s="16">
        <f>SUM(C24:N24)</f>
        <v>15000</v>
      </c>
    </row>
    <row r="25" spans="1:15" x14ac:dyDescent="0.25">
      <c r="A25" s="20">
        <v>13</v>
      </c>
      <c r="B25" s="20" t="s">
        <v>87</v>
      </c>
      <c r="C25" s="84">
        <v>0</v>
      </c>
      <c r="D25" s="84">
        <v>0</v>
      </c>
      <c r="E25" s="84">
        <v>0</v>
      </c>
      <c r="F25" s="84">
        <v>0</v>
      </c>
      <c r="G25" s="84">
        <v>0</v>
      </c>
      <c r="H25" s="84">
        <v>0</v>
      </c>
      <c r="I25" s="84">
        <v>0</v>
      </c>
      <c r="J25" s="84">
        <v>0</v>
      </c>
      <c r="K25" s="84">
        <v>0</v>
      </c>
      <c r="L25" s="84">
        <v>0</v>
      </c>
      <c r="M25" s="16">
        <v>0</v>
      </c>
      <c r="N25" s="16">
        <v>0</v>
      </c>
      <c r="O25" s="16">
        <f>SUM(C25:N25)</f>
        <v>0</v>
      </c>
    </row>
    <row r="26" spans="1:15" x14ac:dyDescent="0.25">
      <c r="A26" s="20">
        <v>3</v>
      </c>
      <c r="B26" s="20" t="s">
        <v>88</v>
      </c>
      <c r="C26" s="84">
        <v>0</v>
      </c>
      <c r="D26" s="84">
        <v>0</v>
      </c>
      <c r="E26" s="84">
        <v>0</v>
      </c>
      <c r="F26" s="84">
        <v>0</v>
      </c>
      <c r="G26" s="84">
        <v>0</v>
      </c>
      <c r="H26" s="84">
        <v>0</v>
      </c>
      <c r="I26" s="84">
        <v>0</v>
      </c>
      <c r="J26" s="84">
        <v>0</v>
      </c>
      <c r="K26" s="84">
        <v>0</v>
      </c>
      <c r="L26" s="84">
        <v>0</v>
      </c>
      <c r="M26" s="16">
        <v>0</v>
      </c>
      <c r="N26" s="16">
        <v>0</v>
      </c>
      <c r="O26" s="16">
        <f>SUM(C26:N26)</f>
        <v>0</v>
      </c>
    </row>
    <row r="27" spans="1:15" x14ac:dyDescent="0.25">
      <c r="A27" s="20">
        <v>4</v>
      </c>
      <c r="B27" s="20" t="s">
        <v>89</v>
      </c>
      <c r="C27" s="84">
        <v>0</v>
      </c>
      <c r="D27" s="84">
        <v>0</v>
      </c>
      <c r="E27" s="84">
        <v>0</v>
      </c>
      <c r="F27" s="84">
        <v>0</v>
      </c>
      <c r="G27" s="84">
        <v>0</v>
      </c>
      <c r="H27" s="84">
        <v>0</v>
      </c>
      <c r="I27" s="84">
        <v>0</v>
      </c>
      <c r="J27" s="84">
        <v>0</v>
      </c>
      <c r="K27" s="84">
        <v>0</v>
      </c>
      <c r="L27" s="84">
        <v>0</v>
      </c>
      <c r="M27" s="16">
        <v>0</v>
      </c>
      <c r="N27" s="16">
        <v>0</v>
      </c>
      <c r="O27" s="16">
        <f>SUM(C27:N27)</f>
        <v>0</v>
      </c>
    </row>
    <row r="28" spans="1:15" ht="15.75" thickBot="1" x14ac:dyDescent="0.3">
      <c r="A28" s="20"/>
      <c r="B28" s="86" t="s">
        <v>90</v>
      </c>
      <c r="C28" s="87">
        <f t="shared" ref="C28:N28" si="5">SUM(C24:C27)</f>
        <v>15000</v>
      </c>
      <c r="D28" s="87">
        <f t="shared" si="5"/>
        <v>0</v>
      </c>
      <c r="E28" s="87">
        <f t="shared" si="5"/>
        <v>0</v>
      </c>
      <c r="F28" s="87">
        <f t="shared" si="5"/>
        <v>0</v>
      </c>
      <c r="G28" s="87">
        <f t="shared" si="5"/>
        <v>0</v>
      </c>
      <c r="H28" s="87">
        <f t="shared" si="5"/>
        <v>0</v>
      </c>
      <c r="I28" s="87">
        <f t="shared" si="5"/>
        <v>0</v>
      </c>
      <c r="J28" s="87">
        <f t="shared" si="5"/>
        <v>0</v>
      </c>
      <c r="K28" s="87">
        <f t="shared" si="5"/>
        <v>0</v>
      </c>
      <c r="L28" s="87">
        <f t="shared" si="5"/>
        <v>0</v>
      </c>
      <c r="M28" s="88">
        <f t="shared" si="5"/>
        <v>0</v>
      </c>
      <c r="N28" s="88">
        <f t="shared" si="5"/>
        <v>0</v>
      </c>
      <c r="O28" s="88">
        <f>SUM(C28:N28)</f>
        <v>15000</v>
      </c>
    </row>
    <row r="29" spans="1:15" ht="15.75" thickTop="1" x14ac:dyDescent="0.25">
      <c r="A29" s="20"/>
      <c r="B29" s="20"/>
      <c r="C29" s="84"/>
      <c r="D29" s="84"/>
      <c r="E29" s="84"/>
      <c r="F29" s="84"/>
      <c r="G29" s="84"/>
      <c r="H29" s="84"/>
      <c r="I29" s="84"/>
      <c r="J29" s="84"/>
      <c r="K29" s="84"/>
      <c r="L29" s="84"/>
      <c r="M29" s="16"/>
      <c r="N29" s="16"/>
      <c r="O29" s="16"/>
    </row>
    <row r="30" spans="1:15" x14ac:dyDescent="0.25">
      <c r="A30" s="20">
        <v>12</v>
      </c>
      <c r="B30" s="20" t="s">
        <v>91</v>
      </c>
      <c r="C30" s="84">
        <f t="shared" ref="C30:N30" si="6">C24*0.16</f>
        <v>2400</v>
      </c>
      <c r="D30" s="84">
        <f t="shared" si="6"/>
        <v>0</v>
      </c>
      <c r="E30" s="84">
        <f t="shared" si="6"/>
        <v>0</v>
      </c>
      <c r="F30" s="84">
        <f t="shared" si="6"/>
        <v>0</v>
      </c>
      <c r="G30" s="84">
        <f t="shared" si="6"/>
        <v>0</v>
      </c>
      <c r="H30" s="84">
        <f t="shared" si="6"/>
        <v>0</v>
      </c>
      <c r="I30" s="84">
        <v>0</v>
      </c>
      <c r="J30" s="84">
        <f t="shared" si="6"/>
        <v>0</v>
      </c>
      <c r="K30" s="84">
        <f t="shared" si="6"/>
        <v>0</v>
      </c>
      <c r="L30" s="84">
        <f t="shared" si="6"/>
        <v>0</v>
      </c>
      <c r="M30" s="16">
        <f t="shared" si="6"/>
        <v>0</v>
      </c>
      <c r="N30" s="16">
        <f t="shared" si="6"/>
        <v>0</v>
      </c>
      <c r="O30" s="16">
        <f>SUM(C30:N30)</f>
        <v>2400</v>
      </c>
    </row>
    <row r="31" spans="1:15" x14ac:dyDescent="0.25">
      <c r="A31" s="20">
        <v>13</v>
      </c>
      <c r="B31" s="20" t="s">
        <v>92</v>
      </c>
      <c r="C31" s="84">
        <f>C25*8%</f>
        <v>0</v>
      </c>
      <c r="D31" s="84">
        <f t="shared" ref="D31:N31" si="7">D25*8%</f>
        <v>0</v>
      </c>
      <c r="E31" s="84">
        <f t="shared" si="7"/>
        <v>0</v>
      </c>
      <c r="F31" s="84">
        <f t="shared" si="7"/>
        <v>0</v>
      </c>
      <c r="G31" s="84">
        <f t="shared" si="7"/>
        <v>0</v>
      </c>
      <c r="H31" s="84">
        <f t="shared" si="7"/>
        <v>0</v>
      </c>
      <c r="I31" s="84">
        <f t="shared" si="7"/>
        <v>0</v>
      </c>
      <c r="J31" s="84">
        <f t="shared" si="7"/>
        <v>0</v>
      </c>
      <c r="K31" s="84">
        <f t="shared" si="7"/>
        <v>0</v>
      </c>
      <c r="L31" s="84">
        <f t="shared" si="7"/>
        <v>0</v>
      </c>
      <c r="M31" s="16">
        <f t="shared" si="7"/>
        <v>0</v>
      </c>
      <c r="N31" s="16">
        <f t="shared" si="7"/>
        <v>0</v>
      </c>
      <c r="O31" s="16">
        <f>SUM(C31:N31)</f>
        <v>0</v>
      </c>
    </row>
    <row r="32" spans="1:15" x14ac:dyDescent="0.25">
      <c r="A32" s="20">
        <v>8</v>
      </c>
      <c r="B32" s="20" t="s">
        <v>83</v>
      </c>
      <c r="C32" s="84">
        <v>0</v>
      </c>
      <c r="D32" s="84">
        <v>0</v>
      </c>
      <c r="E32" s="84">
        <v>0</v>
      </c>
      <c r="F32" s="84">
        <v>0</v>
      </c>
      <c r="G32" s="84">
        <v>0</v>
      </c>
      <c r="H32" s="84">
        <v>0</v>
      </c>
      <c r="I32" s="84">
        <v>0</v>
      </c>
      <c r="J32" s="84">
        <v>0</v>
      </c>
      <c r="K32" s="84">
        <v>0</v>
      </c>
      <c r="L32" s="84">
        <v>0</v>
      </c>
      <c r="M32" s="16">
        <v>0</v>
      </c>
      <c r="N32" s="16">
        <v>0</v>
      </c>
      <c r="O32" s="16">
        <f>SUM(C32:N32)</f>
        <v>0</v>
      </c>
    </row>
    <row r="33" spans="1:15" x14ac:dyDescent="0.25">
      <c r="A33" s="20">
        <v>8</v>
      </c>
      <c r="B33" s="20" t="s">
        <v>93</v>
      </c>
      <c r="C33" s="84">
        <v>0</v>
      </c>
      <c r="D33" s="84">
        <f>C32</f>
        <v>0</v>
      </c>
      <c r="E33" s="84">
        <f t="shared" ref="E33:N33" si="8">D32</f>
        <v>0</v>
      </c>
      <c r="F33" s="84">
        <f t="shared" si="8"/>
        <v>0</v>
      </c>
      <c r="G33" s="84">
        <f t="shared" si="8"/>
        <v>0</v>
      </c>
      <c r="H33" s="84">
        <f t="shared" si="8"/>
        <v>0</v>
      </c>
      <c r="I33" s="84">
        <f t="shared" si="8"/>
        <v>0</v>
      </c>
      <c r="J33" s="84">
        <f t="shared" si="8"/>
        <v>0</v>
      </c>
      <c r="K33" s="84">
        <f t="shared" si="8"/>
        <v>0</v>
      </c>
      <c r="L33" s="84">
        <f t="shared" si="8"/>
        <v>0</v>
      </c>
      <c r="M33" s="16">
        <f t="shared" si="8"/>
        <v>0</v>
      </c>
      <c r="N33" s="16">
        <f t="shared" si="8"/>
        <v>0</v>
      </c>
      <c r="O33" s="16">
        <f>SUM(C33:N33)</f>
        <v>0</v>
      </c>
    </row>
    <row r="34" spans="1:15" ht="15.75" thickBot="1" x14ac:dyDescent="0.3">
      <c r="A34" s="20"/>
      <c r="B34" s="86" t="s">
        <v>94</v>
      </c>
      <c r="C34" s="87">
        <f>C30+C31-C32+C33</f>
        <v>2400</v>
      </c>
      <c r="D34" s="87">
        <f>D30+D31-D32+D33</f>
        <v>0</v>
      </c>
      <c r="E34" s="87">
        <f t="shared" ref="E34:N34" si="9">E30+E31-E32+E33</f>
        <v>0</v>
      </c>
      <c r="F34" s="87">
        <f t="shared" si="9"/>
        <v>0</v>
      </c>
      <c r="G34" s="87">
        <f t="shared" si="9"/>
        <v>0</v>
      </c>
      <c r="H34" s="87">
        <f t="shared" si="9"/>
        <v>0</v>
      </c>
      <c r="I34" s="87">
        <f t="shared" si="9"/>
        <v>0</v>
      </c>
      <c r="J34" s="87">
        <f t="shared" si="9"/>
        <v>0</v>
      </c>
      <c r="K34" s="87">
        <f t="shared" si="9"/>
        <v>0</v>
      </c>
      <c r="L34" s="87">
        <f t="shared" si="9"/>
        <v>0</v>
      </c>
      <c r="M34" s="88">
        <f t="shared" si="9"/>
        <v>0</v>
      </c>
      <c r="N34" s="88">
        <f t="shared" si="9"/>
        <v>0</v>
      </c>
      <c r="O34" s="88">
        <f>SUM(C34:N34)</f>
        <v>2400</v>
      </c>
    </row>
    <row r="35" spans="1:15" ht="15.75" thickTop="1" x14ac:dyDescent="0.25">
      <c r="C35" s="16"/>
      <c r="D35" s="91"/>
      <c r="E35" s="16"/>
      <c r="F35" s="16"/>
      <c r="G35" s="16"/>
      <c r="H35" s="16"/>
      <c r="I35" s="16"/>
      <c r="J35" s="16"/>
      <c r="K35" s="16"/>
      <c r="L35" s="16"/>
      <c r="M35" s="16"/>
      <c r="N35" s="16"/>
      <c r="O35" s="16" t="s">
        <v>0</v>
      </c>
    </row>
    <row r="36" spans="1:15" ht="15.75" x14ac:dyDescent="0.25">
      <c r="B36" s="93" t="s">
        <v>95</v>
      </c>
      <c r="C36" s="94"/>
      <c r="D36" s="94"/>
      <c r="E36" s="94"/>
      <c r="F36" s="94" t="s">
        <v>0</v>
      </c>
      <c r="G36" s="94"/>
      <c r="H36" s="94"/>
      <c r="I36" s="94"/>
      <c r="J36" s="94"/>
      <c r="K36" s="94"/>
      <c r="L36" s="94"/>
      <c r="M36" s="94"/>
      <c r="N36" s="94"/>
      <c r="O36" s="94" t="s">
        <v>0</v>
      </c>
    </row>
    <row r="37" spans="1:15" x14ac:dyDescent="0.25">
      <c r="B37" s="95" t="s">
        <v>96</v>
      </c>
      <c r="C37" s="92">
        <f t="shared" ref="C37:N37" si="10">IF(C21&gt;C34,C21-C34,0)</f>
        <v>2400</v>
      </c>
      <c r="D37" s="92">
        <f>IF(D21&gt;D34,D21-D34,0)</f>
        <v>0</v>
      </c>
      <c r="E37" s="92">
        <f t="shared" si="10"/>
        <v>0</v>
      </c>
      <c r="F37" s="92">
        <f t="shared" si="10"/>
        <v>0</v>
      </c>
      <c r="G37" s="92">
        <f t="shared" si="10"/>
        <v>0</v>
      </c>
      <c r="H37" s="92">
        <f t="shared" si="10"/>
        <v>0</v>
      </c>
      <c r="I37" s="92">
        <f t="shared" si="10"/>
        <v>0</v>
      </c>
      <c r="J37" s="92">
        <f t="shared" si="10"/>
        <v>0</v>
      </c>
      <c r="K37" s="92">
        <f t="shared" si="10"/>
        <v>0</v>
      </c>
      <c r="L37" s="92">
        <f t="shared" si="10"/>
        <v>0</v>
      </c>
      <c r="M37" s="92">
        <f t="shared" si="10"/>
        <v>0</v>
      </c>
      <c r="N37" s="92">
        <f t="shared" si="10"/>
        <v>0</v>
      </c>
      <c r="O37" s="92">
        <f>SUM(C37:N37)</f>
        <v>2400</v>
      </c>
    </row>
    <row r="38" spans="1:15" x14ac:dyDescent="0.25">
      <c r="B38" s="95" t="s">
        <v>97</v>
      </c>
      <c r="C38" s="92">
        <f t="shared" ref="C38:N38" si="11">IF(C21&lt;C34,C34-C21,0)</f>
        <v>0</v>
      </c>
      <c r="D38" s="92">
        <f t="shared" si="11"/>
        <v>0</v>
      </c>
      <c r="E38" s="92">
        <f t="shared" si="11"/>
        <v>0</v>
      </c>
      <c r="F38" s="92">
        <f t="shared" si="11"/>
        <v>0</v>
      </c>
      <c r="G38" s="92">
        <f t="shared" si="11"/>
        <v>0</v>
      </c>
      <c r="H38" s="92">
        <f t="shared" si="11"/>
        <v>0</v>
      </c>
      <c r="I38" s="92">
        <f t="shared" si="11"/>
        <v>0</v>
      </c>
      <c r="J38" s="92">
        <f t="shared" si="11"/>
        <v>0</v>
      </c>
      <c r="K38" s="92">
        <f t="shared" si="11"/>
        <v>0</v>
      </c>
      <c r="L38" s="92">
        <f t="shared" si="11"/>
        <v>0</v>
      </c>
      <c r="M38" s="92">
        <f t="shared" si="11"/>
        <v>0</v>
      </c>
      <c r="N38" s="92">
        <f t="shared" si="11"/>
        <v>0</v>
      </c>
      <c r="O38" s="92">
        <f>SUM(C38:N38)</f>
        <v>0</v>
      </c>
    </row>
    <row r="39" spans="1:15" x14ac:dyDescent="0.25">
      <c r="B39" s="95" t="s">
        <v>98</v>
      </c>
      <c r="C39" s="92">
        <v>0</v>
      </c>
      <c r="D39" s="92">
        <f t="shared" ref="D39:N39" si="12">IF(C41&lt;0,C41*-1,C41)</f>
        <v>0</v>
      </c>
      <c r="E39" s="92">
        <f t="shared" si="12"/>
        <v>0</v>
      </c>
      <c r="F39" s="92">
        <f t="shared" si="12"/>
        <v>0</v>
      </c>
      <c r="G39" s="92">
        <f t="shared" si="12"/>
        <v>0</v>
      </c>
      <c r="H39" s="92">
        <f t="shared" si="12"/>
        <v>0</v>
      </c>
      <c r="I39" s="92">
        <f t="shared" si="12"/>
        <v>0</v>
      </c>
      <c r="J39" s="92">
        <f t="shared" si="12"/>
        <v>0</v>
      </c>
      <c r="K39" s="92">
        <f t="shared" si="12"/>
        <v>0</v>
      </c>
      <c r="L39" s="92">
        <f t="shared" si="12"/>
        <v>0</v>
      </c>
      <c r="M39" s="92">
        <f t="shared" si="12"/>
        <v>0</v>
      </c>
      <c r="N39" s="92">
        <f t="shared" si="12"/>
        <v>0</v>
      </c>
      <c r="O39" s="92">
        <f>N41</f>
        <v>0</v>
      </c>
    </row>
    <row r="40" spans="1:15" x14ac:dyDescent="0.25">
      <c r="B40" s="95" t="s">
        <v>99</v>
      </c>
      <c r="C40" s="92">
        <f t="shared" ref="C40:N40" si="13">IF(C37&gt;C39,C37-C39,0)</f>
        <v>2400</v>
      </c>
      <c r="D40" s="92">
        <f t="shared" si="13"/>
        <v>0</v>
      </c>
      <c r="E40" s="92">
        <f t="shared" si="13"/>
        <v>0</v>
      </c>
      <c r="F40" s="92">
        <f t="shared" si="13"/>
        <v>0</v>
      </c>
      <c r="G40" s="92">
        <f t="shared" si="13"/>
        <v>0</v>
      </c>
      <c r="H40" s="92">
        <f t="shared" si="13"/>
        <v>0</v>
      </c>
      <c r="I40" s="92">
        <f t="shared" si="13"/>
        <v>0</v>
      </c>
      <c r="J40" s="92">
        <f t="shared" si="13"/>
        <v>0</v>
      </c>
      <c r="K40" s="92">
        <f t="shared" si="13"/>
        <v>0</v>
      </c>
      <c r="L40" s="92">
        <f t="shared" si="13"/>
        <v>0</v>
      </c>
      <c r="M40" s="92">
        <f t="shared" si="13"/>
        <v>0</v>
      </c>
      <c r="N40" s="92">
        <f t="shared" si="13"/>
        <v>0</v>
      </c>
      <c r="O40" s="92">
        <f>SUM(C40:N40)</f>
        <v>2400</v>
      </c>
    </row>
    <row r="41" spans="1:15" x14ac:dyDescent="0.25">
      <c r="B41" s="95" t="s">
        <v>100</v>
      </c>
      <c r="C41" s="92">
        <f t="shared" ref="C41:N41" si="14">IF(C40=0,IF(C37=0,C38+C39,C39-C37),0)</f>
        <v>0</v>
      </c>
      <c r="D41" s="92">
        <f t="shared" si="14"/>
        <v>0</v>
      </c>
      <c r="E41" s="92">
        <f t="shared" si="14"/>
        <v>0</v>
      </c>
      <c r="F41" s="92">
        <f t="shared" si="14"/>
        <v>0</v>
      </c>
      <c r="G41" s="92">
        <f t="shared" si="14"/>
        <v>0</v>
      </c>
      <c r="H41" s="92">
        <f t="shared" si="14"/>
        <v>0</v>
      </c>
      <c r="I41" s="92">
        <f t="shared" si="14"/>
        <v>0</v>
      </c>
      <c r="J41" s="92">
        <f t="shared" si="14"/>
        <v>0</v>
      </c>
      <c r="K41" s="92">
        <f t="shared" si="14"/>
        <v>0</v>
      </c>
      <c r="L41" s="92">
        <f t="shared" si="14"/>
        <v>0</v>
      </c>
      <c r="M41" s="92">
        <f t="shared" si="14"/>
        <v>0</v>
      </c>
      <c r="N41" s="92">
        <f t="shared" si="14"/>
        <v>0</v>
      </c>
      <c r="O41" s="92"/>
    </row>
  </sheetData>
  <mergeCells count="2">
    <mergeCell ref="A2:N2"/>
    <mergeCell ref="A3:N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2"/>
  <sheetViews>
    <sheetView showGridLines="0" topLeftCell="C1" workbookViewId="0">
      <selection activeCell="L22" sqref="L22"/>
    </sheetView>
  </sheetViews>
  <sheetFormatPr baseColWidth="10" defaultColWidth="11.42578125" defaultRowHeight="15" x14ac:dyDescent="0.25"/>
  <cols>
    <col min="1" max="1" width="24.28515625" customWidth="1"/>
    <col min="2" max="2" width="12.5703125" customWidth="1"/>
    <col min="3" max="3" width="10.140625" customWidth="1"/>
    <col min="5" max="5" width="17.5703125" style="29" customWidth="1"/>
    <col min="7" max="7" width="27" customWidth="1"/>
    <col min="8" max="8" width="18" customWidth="1"/>
    <col min="9" max="9" width="24.140625" customWidth="1"/>
    <col min="10" max="10" width="14.42578125" customWidth="1"/>
    <col min="11" max="11" width="14.7109375" customWidth="1"/>
    <col min="13" max="13" width="15.85546875" customWidth="1"/>
    <col min="14" max="14" width="32.7109375" bestFit="1" customWidth="1"/>
    <col min="15" max="15" width="15" customWidth="1"/>
    <col min="17" max="17" width="36.5703125" bestFit="1" customWidth="1"/>
    <col min="18" max="18" width="12.140625" bestFit="1" customWidth="1"/>
  </cols>
  <sheetData>
    <row r="2" spans="1:18" x14ac:dyDescent="0.25">
      <c r="J2" s="98"/>
      <c r="N2" s="136"/>
      <c r="O2" s="98"/>
    </row>
    <row r="3" spans="1:18" x14ac:dyDescent="0.25">
      <c r="I3" s="174" t="s">
        <v>314</v>
      </c>
      <c r="J3" s="340">
        <f>H7*F7/12</f>
        <v>3645.8333333333335</v>
      </c>
    </row>
    <row r="4" spans="1:18" x14ac:dyDescent="0.25">
      <c r="A4" s="124">
        <v>2019</v>
      </c>
      <c r="B4" s="99" t="s">
        <v>101</v>
      </c>
      <c r="C4" s="100" t="s">
        <v>102</v>
      </c>
      <c r="D4" s="100" t="s">
        <v>103</v>
      </c>
      <c r="E4" s="101" t="s">
        <v>104</v>
      </c>
      <c r="F4" s="99" t="s">
        <v>105</v>
      </c>
      <c r="G4" s="99" t="s">
        <v>106</v>
      </c>
      <c r="H4" s="99" t="s">
        <v>107</v>
      </c>
      <c r="I4" s="99" t="s">
        <v>108</v>
      </c>
      <c r="J4" s="99" t="s">
        <v>109</v>
      </c>
      <c r="K4" s="102" t="s">
        <v>110</v>
      </c>
      <c r="L4" s="99" t="s">
        <v>111</v>
      </c>
      <c r="M4" s="99" t="s">
        <v>112</v>
      </c>
      <c r="N4" s="103" t="s">
        <v>113</v>
      </c>
      <c r="O4" s="99" t="s">
        <v>114</v>
      </c>
    </row>
    <row r="5" spans="1:18" x14ac:dyDescent="0.25">
      <c r="A5" s="124"/>
      <c r="B5" s="99" t="s">
        <v>115</v>
      </c>
      <c r="C5" s="100" t="s">
        <v>116</v>
      </c>
      <c r="D5" s="100" t="s">
        <v>117</v>
      </c>
      <c r="E5" s="101" t="s">
        <v>118</v>
      </c>
      <c r="F5" s="99" t="s">
        <v>119</v>
      </c>
      <c r="G5" s="99" t="s">
        <v>120</v>
      </c>
      <c r="H5" s="99" t="s">
        <v>121</v>
      </c>
      <c r="I5" s="99">
        <v>2021</v>
      </c>
      <c r="J5" s="99">
        <v>2021</v>
      </c>
      <c r="K5" s="99" t="s">
        <v>122</v>
      </c>
      <c r="L5" s="99" t="s">
        <v>115</v>
      </c>
      <c r="M5" s="99"/>
      <c r="N5" s="103">
        <v>2019</v>
      </c>
      <c r="O5" s="99" t="s">
        <v>123</v>
      </c>
    </row>
    <row r="6" spans="1:18" x14ac:dyDescent="0.25">
      <c r="A6" s="104" t="s">
        <v>124</v>
      </c>
      <c r="B6" s="105"/>
      <c r="C6" s="106"/>
      <c r="D6" s="106"/>
      <c r="E6" s="107"/>
      <c r="F6" s="106"/>
      <c r="G6" s="106"/>
      <c r="H6" s="106"/>
      <c r="I6" s="108"/>
      <c r="J6" s="157"/>
      <c r="K6" s="111"/>
      <c r="L6" s="106"/>
      <c r="M6" s="106"/>
      <c r="N6" s="109"/>
      <c r="O6" s="106"/>
    </row>
    <row r="7" spans="1:18" x14ac:dyDescent="0.25">
      <c r="A7" s="20" t="s">
        <v>125</v>
      </c>
      <c r="B7" s="105">
        <v>43620</v>
      </c>
      <c r="C7" s="106"/>
      <c r="D7" s="106"/>
      <c r="E7" s="46">
        <v>194827.59</v>
      </c>
      <c r="F7" s="110">
        <v>0.25</v>
      </c>
      <c r="G7" s="111">
        <v>0</v>
      </c>
      <c r="H7" s="111">
        <v>175000</v>
      </c>
      <c r="I7" s="112">
        <v>6</v>
      </c>
      <c r="J7" s="113">
        <f>+H7*F7/12*I7</f>
        <v>21875</v>
      </c>
      <c r="K7" s="114">
        <f>[1]INPC!J5</f>
        <v>103.94199999999999</v>
      </c>
      <c r="L7" s="114">
        <f>[1]INPC!G5</f>
        <v>103.29900000000001</v>
      </c>
      <c r="M7" s="114">
        <f>+K7/L7</f>
        <v>1.0062246488349353</v>
      </c>
      <c r="N7" s="97">
        <f>+M7*J7</f>
        <v>22011.164193264212</v>
      </c>
      <c r="O7" s="111">
        <f>+H7-J7</f>
        <v>153125</v>
      </c>
      <c r="R7" s="98"/>
    </row>
    <row r="8" spans="1:18" x14ac:dyDescent="0.25">
      <c r="A8" s="106">
        <v>2020</v>
      </c>
      <c r="B8" s="108"/>
      <c r="C8" s="106"/>
      <c r="D8" s="106"/>
      <c r="E8" s="107"/>
      <c r="F8" s="110">
        <v>0.25</v>
      </c>
      <c r="G8" s="111">
        <f>O7</f>
        <v>153125</v>
      </c>
      <c r="H8" s="111">
        <v>175000</v>
      </c>
      <c r="I8" s="112">
        <v>12</v>
      </c>
      <c r="J8" s="113">
        <f>+H8*F8/12*I8</f>
        <v>43750</v>
      </c>
      <c r="K8" s="114">
        <f>[1]INPC!G4</f>
        <v>106.74299999999999</v>
      </c>
      <c r="L8" s="114">
        <v>103.29900000000001</v>
      </c>
      <c r="M8" s="114">
        <f>+K8/L8</f>
        <v>1.0333401097784101</v>
      </c>
      <c r="N8" s="97">
        <f>+M8*J8</f>
        <v>45208.629802805437</v>
      </c>
      <c r="O8" s="111">
        <f>G8-J8</f>
        <v>109375</v>
      </c>
      <c r="R8" s="98"/>
    </row>
    <row r="9" spans="1:18" x14ac:dyDescent="0.25">
      <c r="A9" s="106">
        <v>2021</v>
      </c>
      <c r="B9" s="108"/>
      <c r="C9" s="106"/>
      <c r="D9" s="106"/>
      <c r="E9" s="107"/>
      <c r="F9" s="110">
        <v>0.25</v>
      </c>
      <c r="G9" s="111">
        <f>O8</f>
        <v>109375</v>
      </c>
      <c r="H9" s="111">
        <v>175000</v>
      </c>
      <c r="I9" s="112">
        <v>12</v>
      </c>
      <c r="J9" s="113">
        <f>+H9*F9/12*I9</f>
        <v>43750</v>
      </c>
      <c r="K9" s="114">
        <f>[1]INPC!G3</f>
        <v>113.018</v>
      </c>
      <c r="L9" s="114">
        <v>103.29900000000001</v>
      </c>
      <c r="M9" s="114">
        <f t="shared" ref="M9:M10" si="0">+K9/L9</f>
        <v>1.0940860995750201</v>
      </c>
      <c r="N9" s="97">
        <f t="shared" ref="N9:N10" si="1">+M9*J9</f>
        <v>47866.266856407128</v>
      </c>
      <c r="O9" s="111">
        <f>G9-J9</f>
        <v>65625</v>
      </c>
      <c r="R9" s="98"/>
    </row>
    <row r="10" spans="1:18" ht="16.149999999999999" customHeight="1" x14ac:dyDescent="0.25">
      <c r="A10" s="106">
        <v>2022</v>
      </c>
      <c r="B10" s="108"/>
      <c r="C10" s="106"/>
      <c r="D10" s="106"/>
      <c r="E10" s="107"/>
      <c r="F10" s="110">
        <v>0.25</v>
      </c>
      <c r="G10" s="111">
        <f>O9</f>
        <v>65625</v>
      </c>
      <c r="H10" s="111">
        <v>175000</v>
      </c>
      <c r="I10" s="112">
        <v>12</v>
      </c>
      <c r="J10" s="113">
        <f>+H10*F10/12*I10</f>
        <v>43750</v>
      </c>
      <c r="K10" s="114">
        <f>[1]INPC!G2</f>
        <v>122.044</v>
      </c>
      <c r="L10" s="114">
        <v>103.29900000000001</v>
      </c>
      <c r="M10" s="114">
        <f t="shared" si="0"/>
        <v>1.1814635185238966</v>
      </c>
      <c r="N10" s="97">
        <f t="shared" si="1"/>
        <v>51689.02893542048</v>
      </c>
      <c r="O10" s="111">
        <f>G10-J10</f>
        <v>21875</v>
      </c>
    </row>
    <row r="11" spans="1:18" s="147" customFormat="1" ht="16.149999999999999" customHeight="1" x14ac:dyDescent="0.25">
      <c r="A11" s="139">
        <v>2023</v>
      </c>
      <c r="B11" s="140"/>
      <c r="C11" s="141"/>
      <c r="D11" s="141"/>
      <c r="E11" s="142"/>
      <c r="F11" s="143">
        <v>0.25</v>
      </c>
      <c r="G11" s="144">
        <f>O10</f>
        <v>21875</v>
      </c>
      <c r="H11" s="144">
        <v>175000</v>
      </c>
      <c r="I11" s="145">
        <v>6</v>
      </c>
      <c r="J11" s="137">
        <f>+H11*F11/12*I11</f>
        <v>21875</v>
      </c>
      <c r="K11" s="146"/>
      <c r="L11" s="146"/>
      <c r="M11" s="146"/>
      <c r="N11" s="138"/>
      <c r="O11" s="144"/>
    </row>
    <row r="12" spans="1:18" s="147" customFormat="1" ht="16.149999999999999" customHeight="1" x14ac:dyDescent="0.25">
      <c r="A12" s="148"/>
      <c r="B12" s="149"/>
      <c r="C12" s="150"/>
      <c r="D12" s="150"/>
      <c r="E12" s="151"/>
      <c r="F12" s="152"/>
      <c r="G12" s="153"/>
      <c r="H12" s="153"/>
      <c r="I12" s="154"/>
      <c r="J12" s="156"/>
      <c r="K12" s="155"/>
      <c r="L12" s="155"/>
      <c r="M12" s="155"/>
      <c r="N12" s="156"/>
      <c r="O12" s="153"/>
    </row>
    <row r="13" spans="1:18" x14ac:dyDescent="0.25">
      <c r="H13" s="98"/>
      <c r="I13" s="174" t="s">
        <v>314</v>
      </c>
      <c r="J13" s="340">
        <f>H17*F17/12</f>
        <v>1250</v>
      </c>
    </row>
    <row r="14" spans="1:18" x14ac:dyDescent="0.25">
      <c r="A14" s="124">
        <v>2020</v>
      </c>
      <c r="B14" s="99" t="s">
        <v>101</v>
      </c>
      <c r="C14" s="100" t="s">
        <v>102</v>
      </c>
      <c r="D14" s="100" t="s">
        <v>103</v>
      </c>
      <c r="E14" s="101" t="s">
        <v>104</v>
      </c>
      <c r="F14" s="99" t="s">
        <v>105</v>
      </c>
      <c r="G14" s="99" t="s">
        <v>106</v>
      </c>
      <c r="H14" s="99" t="s">
        <v>107</v>
      </c>
      <c r="I14" s="99" t="s">
        <v>108</v>
      </c>
      <c r="J14" s="99" t="s">
        <v>109</v>
      </c>
      <c r="K14" s="102" t="s">
        <v>110</v>
      </c>
      <c r="L14" s="99" t="s">
        <v>111</v>
      </c>
      <c r="M14" s="99" t="s">
        <v>112</v>
      </c>
      <c r="N14" s="103" t="s">
        <v>126</v>
      </c>
      <c r="O14" s="99" t="s">
        <v>114</v>
      </c>
      <c r="R14" s="98"/>
    </row>
    <row r="15" spans="1:18" x14ac:dyDescent="0.25">
      <c r="A15" s="124"/>
      <c r="B15" s="99" t="s">
        <v>115</v>
      </c>
      <c r="C15" s="100" t="s">
        <v>116</v>
      </c>
      <c r="D15" s="100" t="s">
        <v>117</v>
      </c>
      <c r="E15" s="101" t="s">
        <v>118</v>
      </c>
      <c r="F15" s="99" t="s">
        <v>119</v>
      </c>
      <c r="G15" s="99" t="s">
        <v>120</v>
      </c>
      <c r="H15" s="99" t="s">
        <v>121</v>
      </c>
      <c r="I15" s="99">
        <v>2022</v>
      </c>
      <c r="J15" s="99">
        <v>2022</v>
      </c>
      <c r="K15" s="99" t="s">
        <v>122</v>
      </c>
      <c r="L15" s="99" t="s">
        <v>115</v>
      </c>
      <c r="M15" s="99"/>
      <c r="N15" s="103">
        <v>2020</v>
      </c>
      <c r="O15" s="99" t="s">
        <v>123</v>
      </c>
      <c r="R15" s="98"/>
    </row>
    <row r="16" spans="1:18" x14ac:dyDescent="0.25">
      <c r="A16" s="128" t="s">
        <v>128</v>
      </c>
      <c r="B16" s="129"/>
      <c r="C16" s="129"/>
      <c r="D16" s="129"/>
      <c r="E16" s="130"/>
      <c r="F16" s="129"/>
      <c r="G16" s="106"/>
      <c r="H16" s="106"/>
      <c r="I16" s="106"/>
      <c r="J16" s="106"/>
      <c r="K16" s="106"/>
      <c r="L16" s="106"/>
      <c r="M16" s="106"/>
      <c r="N16" s="115"/>
      <c r="O16" s="106"/>
    </row>
    <row r="17" spans="1:18" x14ac:dyDescent="0.25">
      <c r="A17" s="20" t="s">
        <v>129</v>
      </c>
      <c r="B17" s="131">
        <v>44074</v>
      </c>
      <c r="C17" s="129"/>
      <c r="D17" s="129"/>
      <c r="E17" s="46">
        <v>50000</v>
      </c>
      <c r="F17" s="132">
        <v>0.3</v>
      </c>
      <c r="G17" s="107">
        <v>0</v>
      </c>
      <c r="H17" s="111">
        <v>50000</v>
      </c>
      <c r="I17" s="111">
        <v>4</v>
      </c>
      <c r="J17" s="113">
        <f>+H17*F17/12*I17</f>
        <v>5000</v>
      </c>
      <c r="K17" s="116">
        <f>[1]INPC!K4</f>
        <v>108.774</v>
      </c>
      <c r="L17" s="117">
        <f>[1]INPC!I4</f>
        <v>107.867</v>
      </c>
      <c r="M17" s="114">
        <f>K17/L17</f>
        <v>1.0084085030639585</v>
      </c>
      <c r="N17" s="118">
        <f>+M17*J17</f>
        <v>5042.0425153197921</v>
      </c>
      <c r="O17" s="111">
        <f>+H17-J17</f>
        <v>45000</v>
      </c>
    </row>
    <row r="18" spans="1:18" x14ac:dyDescent="0.25">
      <c r="A18" s="129">
        <v>2021</v>
      </c>
      <c r="B18" s="133"/>
      <c r="C18" s="129"/>
      <c r="D18" s="129"/>
      <c r="E18" s="130"/>
      <c r="F18" s="132">
        <v>0.3</v>
      </c>
      <c r="G18" s="111">
        <f>O17</f>
        <v>45000</v>
      </c>
      <c r="H18" s="111">
        <v>50000</v>
      </c>
      <c r="I18" s="111">
        <v>12</v>
      </c>
      <c r="J18" s="113">
        <f t="shared" ref="J18:J19" si="2">+H18*F18/12*I18</f>
        <v>15000</v>
      </c>
      <c r="K18" s="117">
        <f>[1]INPC!G3</f>
        <v>113.018</v>
      </c>
      <c r="L18" s="114">
        <v>107.867</v>
      </c>
      <c r="M18" s="114">
        <f t="shared" ref="M18:M19" si="3">K18/L18</f>
        <v>1.0477532516895807</v>
      </c>
      <c r="N18" s="118">
        <f t="shared" ref="N18:N19" si="4">+M18*J18</f>
        <v>15716.29877534371</v>
      </c>
      <c r="O18" s="111">
        <f>G18-J18</f>
        <v>30000</v>
      </c>
      <c r="R18" s="98"/>
    </row>
    <row r="19" spans="1:18" x14ac:dyDescent="0.25">
      <c r="A19" s="129">
        <v>2022</v>
      </c>
      <c r="B19" s="133"/>
      <c r="C19" s="129"/>
      <c r="D19" s="129"/>
      <c r="E19" s="130"/>
      <c r="F19" s="132">
        <v>0.3</v>
      </c>
      <c r="G19" s="111">
        <f t="shared" ref="G19:G20" si="5">O18</f>
        <v>30000</v>
      </c>
      <c r="H19" s="111">
        <v>50000</v>
      </c>
      <c r="I19" s="111">
        <v>12</v>
      </c>
      <c r="J19" s="113">
        <f t="shared" si="2"/>
        <v>15000</v>
      </c>
      <c r="K19" s="114">
        <f>[1]INPC!G2</f>
        <v>122.044</v>
      </c>
      <c r="L19" s="114">
        <v>107.867</v>
      </c>
      <c r="M19" s="114">
        <f t="shared" si="3"/>
        <v>1.1314303725884653</v>
      </c>
      <c r="N19" s="118">
        <f t="shared" si="4"/>
        <v>16971.455588826979</v>
      </c>
      <c r="O19" s="111">
        <f t="shared" ref="O19:O20" si="6">G19-J19</f>
        <v>15000</v>
      </c>
      <c r="R19" s="98"/>
    </row>
    <row r="20" spans="1:18" x14ac:dyDescent="0.25">
      <c r="A20" s="129">
        <v>2023</v>
      </c>
      <c r="B20" s="129"/>
      <c r="C20" s="129"/>
      <c r="D20" s="129"/>
      <c r="E20" s="130"/>
      <c r="F20" s="132">
        <v>0.3</v>
      </c>
      <c r="G20" s="111">
        <f t="shared" si="5"/>
        <v>15000</v>
      </c>
      <c r="H20" s="111">
        <v>50000</v>
      </c>
      <c r="I20" s="111"/>
      <c r="J20" s="134"/>
      <c r="K20" s="114"/>
      <c r="L20" s="114"/>
      <c r="M20" s="114"/>
      <c r="N20" s="111"/>
      <c r="O20" s="111">
        <f t="shared" si="6"/>
        <v>15000</v>
      </c>
    </row>
    <row r="21" spans="1:18" x14ac:dyDescent="0.25">
      <c r="A21" s="129"/>
      <c r="B21" s="129"/>
      <c r="C21" s="129"/>
      <c r="D21" s="129"/>
      <c r="E21" s="130"/>
      <c r="F21" s="129"/>
      <c r="G21" s="106"/>
      <c r="H21" s="106"/>
      <c r="I21" s="106"/>
      <c r="J21" s="106"/>
      <c r="K21" s="106"/>
      <c r="L21" s="106"/>
      <c r="M21" s="106"/>
      <c r="N21" s="106"/>
      <c r="O21" s="106"/>
    </row>
    <row r="22" spans="1:18" x14ac:dyDescent="0.25">
      <c r="A22" s="119"/>
      <c r="B22" s="120"/>
      <c r="C22" s="120"/>
      <c r="D22" s="120"/>
      <c r="E22" s="121"/>
      <c r="F22" s="120"/>
      <c r="G22" s="120"/>
      <c r="H22" s="120"/>
      <c r="I22" s="120"/>
      <c r="J22" s="135"/>
      <c r="K22" s="120"/>
      <c r="L22" s="120"/>
      <c r="M22" s="120"/>
      <c r="N22" s="120"/>
      <c r="O22" s="120"/>
    </row>
    <row r="23" spans="1:18" x14ac:dyDescent="0.25">
      <c r="H23" s="341"/>
      <c r="I23" s="174" t="s">
        <v>314</v>
      </c>
      <c r="J23" s="340">
        <f>H27*F27/12</f>
        <v>1458.3333333333333</v>
      </c>
      <c r="L23" s="56"/>
      <c r="M23" s="56"/>
      <c r="N23" s="123">
        <f>+N7+N17</f>
        <v>27053.206708584003</v>
      </c>
    </row>
    <row r="24" spans="1:18" x14ac:dyDescent="0.25">
      <c r="A24" s="124">
        <v>2021</v>
      </c>
      <c r="B24" s="99" t="s">
        <v>101</v>
      </c>
      <c r="C24" s="100" t="s">
        <v>102</v>
      </c>
      <c r="D24" s="100" t="s">
        <v>103</v>
      </c>
      <c r="E24" s="101" t="s">
        <v>104</v>
      </c>
      <c r="F24" s="99" t="s">
        <v>105</v>
      </c>
      <c r="G24" s="99" t="s">
        <v>106</v>
      </c>
      <c r="H24" s="99" t="s">
        <v>107</v>
      </c>
      <c r="I24" s="99" t="s">
        <v>108</v>
      </c>
      <c r="J24" s="99" t="s">
        <v>109</v>
      </c>
      <c r="K24" s="102" t="s">
        <v>110</v>
      </c>
      <c r="L24" s="99" t="s">
        <v>111</v>
      </c>
      <c r="M24" s="99" t="s">
        <v>112</v>
      </c>
      <c r="N24" s="103" t="s">
        <v>126</v>
      </c>
      <c r="O24" s="99" t="s">
        <v>114</v>
      </c>
      <c r="R24" s="98"/>
    </row>
    <row r="25" spans="1:18" x14ac:dyDescent="0.25">
      <c r="A25" s="124"/>
      <c r="B25" s="99" t="s">
        <v>115</v>
      </c>
      <c r="C25" s="100" t="s">
        <v>116</v>
      </c>
      <c r="D25" s="100" t="s">
        <v>117</v>
      </c>
      <c r="E25" s="101" t="s">
        <v>118</v>
      </c>
      <c r="F25" s="99" t="s">
        <v>119</v>
      </c>
      <c r="G25" s="99" t="s">
        <v>120</v>
      </c>
      <c r="H25" s="99" t="s">
        <v>121</v>
      </c>
      <c r="I25" s="99">
        <v>2022</v>
      </c>
      <c r="J25" s="99">
        <v>2022</v>
      </c>
      <c r="K25" s="99" t="s">
        <v>122</v>
      </c>
      <c r="L25" s="99" t="s">
        <v>115</v>
      </c>
      <c r="M25" s="99"/>
      <c r="N25" s="103">
        <v>2021</v>
      </c>
      <c r="O25" s="99" t="s">
        <v>123</v>
      </c>
      <c r="R25" s="98"/>
    </row>
    <row r="26" spans="1:18" x14ac:dyDescent="0.25">
      <c r="A26" s="128" t="s">
        <v>130</v>
      </c>
      <c r="B26" s="129"/>
      <c r="C26" s="129"/>
      <c r="D26" s="129"/>
      <c r="E26" s="130"/>
      <c r="F26" s="129"/>
      <c r="G26" s="106"/>
      <c r="H26" s="106"/>
      <c r="I26" s="106"/>
      <c r="J26" s="106"/>
      <c r="K26" s="106"/>
      <c r="L26" s="106"/>
      <c r="M26" s="106"/>
      <c r="N26" s="115"/>
      <c r="O26" s="106"/>
    </row>
    <row r="27" spans="1:18" x14ac:dyDescent="0.25">
      <c r="A27" s="20" t="s">
        <v>131</v>
      </c>
      <c r="B27" s="131">
        <v>44377</v>
      </c>
      <c r="C27" s="129"/>
      <c r="D27" s="129"/>
      <c r="E27" s="46">
        <v>165000</v>
      </c>
      <c r="F27" s="132">
        <v>0.1</v>
      </c>
      <c r="G27" s="106"/>
      <c r="H27" s="111">
        <v>175000</v>
      </c>
      <c r="I27" s="111">
        <v>6</v>
      </c>
      <c r="J27" s="113">
        <f>+H27*F27/12*I27</f>
        <v>8750</v>
      </c>
      <c r="K27" s="116">
        <f>[1]INPC!I2</f>
        <v>123.803</v>
      </c>
      <c r="L27" s="117">
        <f>[1]INPC!G3</f>
        <v>113.018</v>
      </c>
      <c r="M27" s="114">
        <f>K27/L27</f>
        <v>1.095427277070909</v>
      </c>
      <c r="N27" s="118">
        <f>+M27*J27</f>
        <v>9584.9886743704537</v>
      </c>
      <c r="O27" s="111">
        <f>+H27-J27</f>
        <v>166250</v>
      </c>
    </row>
    <row r="28" spans="1:18" x14ac:dyDescent="0.25">
      <c r="A28" s="129">
        <v>2022</v>
      </c>
      <c r="B28" s="133"/>
      <c r="C28" s="129"/>
      <c r="D28" s="129"/>
      <c r="E28" s="130"/>
      <c r="F28" s="132">
        <v>0.1</v>
      </c>
      <c r="G28" s="111">
        <v>165000</v>
      </c>
      <c r="H28" s="111">
        <v>175000</v>
      </c>
      <c r="I28" s="111">
        <v>12</v>
      </c>
      <c r="J28" s="113">
        <f>+H28*F28/12*I28</f>
        <v>17500</v>
      </c>
      <c r="K28" s="117">
        <f>[1]INPC!G2</f>
        <v>122.044</v>
      </c>
      <c r="L28" s="114">
        <v>113.018</v>
      </c>
      <c r="M28" s="114">
        <f>K28/L28</f>
        <v>1.0798633845936045</v>
      </c>
      <c r="N28" s="118">
        <f>+M28*J28</f>
        <v>18897.60923038808</v>
      </c>
      <c r="O28" s="111">
        <f>G28-J28</f>
        <v>147500</v>
      </c>
      <c r="R28" s="98"/>
    </row>
    <row r="29" spans="1:18" x14ac:dyDescent="0.25">
      <c r="A29" s="129">
        <v>2023</v>
      </c>
      <c r="B29" s="133"/>
      <c r="C29" s="129"/>
      <c r="D29" s="129"/>
      <c r="E29" s="130"/>
      <c r="F29" s="132">
        <v>0.1</v>
      </c>
      <c r="G29" s="106"/>
      <c r="H29" s="111">
        <v>175000</v>
      </c>
      <c r="I29" s="111"/>
      <c r="J29" s="111"/>
      <c r="K29" s="114"/>
      <c r="L29" s="114"/>
      <c r="M29" s="114"/>
      <c r="N29" s="111"/>
      <c r="O29" s="111">
        <f t="shared" ref="O29:O30" si="7">G29-J29</f>
        <v>0</v>
      </c>
      <c r="R29" s="98"/>
    </row>
    <row r="30" spans="1:18" x14ac:dyDescent="0.25">
      <c r="A30" s="129">
        <v>2024</v>
      </c>
      <c r="B30" s="129"/>
      <c r="C30" s="129"/>
      <c r="D30" s="129"/>
      <c r="E30" s="130"/>
      <c r="F30" s="132">
        <v>0.1</v>
      </c>
      <c r="G30" s="106"/>
      <c r="H30" s="111">
        <v>175000</v>
      </c>
      <c r="I30" s="111"/>
      <c r="J30" s="134"/>
      <c r="K30" s="114"/>
      <c r="L30" s="114"/>
      <c r="M30" s="114"/>
      <c r="N30" s="111"/>
      <c r="O30" s="111">
        <f t="shared" si="7"/>
        <v>0</v>
      </c>
    </row>
    <row r="31" spans="1:18" x14ac:dyDescent="0.25">
      <c r="A31" s="129"/>
      <c r="B31" s="129"/>
      <c r="C31" s="129"/>
      <c r="D31" s="129"/>
      <c r="E31" s="130"/>
      <c r="F31" s="129"/>
      <c r="G31" s="106"/>
      <c r="H31" s="106"/>
      <c r="I31" s="106"/>
      <c r="J31" s="106"/>
      <c r="K31" s="106"/>
      <c r="L31" s="106"/>
      <c r="M31" s="106"/>
      <c r="N31" s="106"/>
      <c r="O31" s="106"/>
    </row>
    <row r="32" spans="1:18" x14ac:dyDescent="0.25">
      <c r="A32" s="20"/>
      <c r="B32" s="20"/>
      <c r="C32" s="20"/>
      <c r="D32" s="20"/>
      <c r="E32" s="46"/>
      <c r="F32" s="20"/>
      <c r="H32" s="98"/>
      <c r="J32" s="98"/>
    </row>
    <row r="34" spans="1:18" hidden="1" x14ac:dyDescent="0.25">
      <c r="A34" s="124">
        <v>2022</v>
      </c>
      <c r="B34" s="99" t="s">
        <v>101</v>
      </c>
      <c r="C34" s="100" t="s">
        <v>102</v>
      </c>
      <c r="D34" s="100" t="s">
        <v>103</v>
      </c>
      <c r="E34" s="101" t="s">
        <v>104</v>
      </c>
      <c r="F34" s="99" t="s">
        <v>105</v>
      </c>
      <c r="G34" s="99" t="s">
        <v>106</v>
      </c>
      <c r="H34" s="99" t="s">
        <v>107</v>
      </c>
      <c r="I34" s="99" t="s">
        <v>108</v>
      </c>
      <c r="J34" s="99" t="s">
        <v>109</v>
      </c>
      <c r="K34" s="102" t="s">
        <v>110</v>
      </c>
      <c r="L34" s="99" t="s">
        <v>111</v>
      </c>
      <c r="M34" s="99" t="s">
        <v>112</v>
      </c>
      <c r="N34" s="103" t="s">
        <v>126</v>
      </c>
      <c r="O34" s="99" t="s">
        <v>114</v>
      </c>
      <c r="R34" s="98"/>
    </row>
    <row r="35" spans="1:18" hidden="1" x14ac:dyDescent="0.25">
      <c r="A35" s="124"/>
      <c r="B35" s="99" t="s">
        <v>115</v>
      </c>
      <c r="C35" s="100" t="s">
        <v>116</v>
      </c>
      <c r="D35" s="100" t="s">
        <v>117</v>
      </c>
      <c r="E35" s="101" t="s">
        <v>118</v>
      </c>
      <c r="F35" s="99" t="s">
        <v>119</v>
      </c>
      <c r="G35" s="99" t="s">
        <v>120</v>
      </c>
      <c r="H35" s="99" t="s">
        <v>121</v>
      </c>
      <c r="I35" s="99">
        <v>2022</v>
      </c>
      <c r="J35" s="99">
        <v>2022</v>
      </c>
      <c r="K35" s="99" t="s">
        <v>122</v>
      </c>
      <c r="L35" s="99" t="s">
        <v>115</v>
      </c>
      <c r="M35" s="99"/>
      <c r="N35" s="103">
        <v>2022</v>
      </c>
      <c r="O35" s="99" t="s">
        <v>123</v>
      </c>
      <c r="R35" s="98"/>
    </row>
    <row r="36" spans="1:18" hidden="1" x14ac:dyDescent="0.25">
      <c r="A36" s="128" t="s">
        <v>124</v>
      </c>
      <c r="B36" s="129"/>
      <c r="C36" s="129"/>
      <c r="D36" s="129"/>
      <c r="E36" s="130"/>
      <c r="F36" s="129"/>
      <c r="G36" s="129"/>
      <c r="H36" s="106"/>
      <c r="I36" s="106"/>
      <c r="J36" s="106"/>
      <c r="K36" s="106"/>
      <c r="L36" s="106"/>
      <c r="M36" s="106"/>
      <c r="N36" s="115"/>
      <c r="O36" s="106"/>
    </row>
    <row r="37" spans="1:18" hidden="1" x14ac:dyDescent="0.25">
      <c r="A37" s="20" t="s">
        <v>127</v>
      </c>
      <c r="B37" s="131">
        <v>44678</v>
      </c>
      <c r="C37" s="129"/>
      <c r="D37" s="129"/>
      <c r="E37" s="46">
        <v>231810.35</v>
      </c>
      <c r="F37" s="132">
        <v>0.25</v>
      </c>
      <c r="G37" s="129"/>
      <c r="H37" s="111">
        <v>175000</v>
      </c>
      <c r="I37" s="111">
        <v>7</v>
      </c>
      <c r="J37" s="113">
        <f>+H37*F37/12*I37</f>
        <v>25520.833333333336</v>
      </c>
      <c r="K37" s="116">
        <f>[1]INPC!K2</f>
        <v>125.276</v>
      </c>
      <c r="L37" s="117">
        <f>[1]INPC!E2</f>
        <v>120.809</v>
      </c>
      <c r="M37" s="114">
        <f>K37/L37</f>
        <v>1.0369757220074662</v>
      </c>
      <c r="N37" s="118">
        <f>+M37*J37</f>
        <v>26464.484572065547</v>
      </c>
      <c r="O37" s="111">
        <f>+H37-J37</f>
        <v>149479.16666666666</v>
      </c>
    </row>
    <row r="38" spans="1:18" hidden="1" x14ac:dyDescent="0.25">
      <c r="A38" s="129">
        <v>2023</v>
      </c>
      <c r="B38" s="133"/>
      <c r="C38" s="129"/>
      <c r="D38" s="129"/>
      <c r="E38" s="130"/>
      <c r="F38" s="132">
        <v>0.25</v>
      </c>
      <c r="G38" s="134">
        <f>O37</f>
        <v>149479.16666666666</v>
      </c>
      <c r="H38" s="111">
        <v>175000</v>
      </c>
      <c r="I38" s="111"/>
      <c r="J38" s="111"/>
      <c r="K38" s="117"/>
      <c r="L38" s="114"/>
      <c r="M38" s="114"/>
      <c r="N38" s="111"/>
      <c r="O38" s="111">
        <f>G38-J38</f>
        <v>149479.16666666666</v>
      </c>
      <c r="R38" s="98"/>
    </row>
    <row r="39" spans="1:18" hidden="1" x14ac:dyDescent="0.25">
      <c r="A39" s="129">
        <v>2024</v>
      </c>
      <c r="B39" s="133"/>
      <c r="C39" s="129"/>
      <c r="D39" s="129"/>
      <c r="E39" s="130"/>
      <c r="F39" s="132">
        <v>0.25</v>
      </c>
      <c r="G39" s="129"/>
      <c r="H39" s="111">
        <v>175000</v>
      </c>
      <c r="I39" s="111"/>
      <c r="J39" s="111"/>
      <c r="K39" s="114"/>
      <c r="L39" s="114"/>
      <c r="M39" s="114"/>
      <c r="N39" s="111"/>
      <c r="O39" s="111">
        <f t="shared" ref="O39:O40" si="8">G39-J39</f>
        <v>0</v>
      </c>
      <c r="R39" s="98"/>
    </row>
    <row r="40" spans="1:18" hidden="1" x14ac:dyDescent="0.25">
      <c r="A40" s="129">
        <v>2025</v>
      </c>
      <c r="B40" s="129"/>
      <c r="C40" s="129"/>
      <c r="D40" s="129"/>
      <c r="E40" s="130"/>
      <c r="F40" s="132">
        <v>0.25</v>
      </c>
      <c r="G40" s="129"/>
      <c r="H40" s="111">
        <v>175000</v>
      </c>
      <c r="I40" s="111"/>
      <c r="J40" s="134"/>
      <c r="K40" s="114"/>
      <c r="L40" s="114"/>
      <c r="M40" s="114"/>
      <c r="N40" s="111"/>
      <c r="O40" s="111">
        <f t="shared" si="8"/>
        <v>0</v>
      </c>
    </row>
    <row r="41" spans="1:18" hidden="1" x14ac:dyDescent="0.25">
      <c r="A41" s="129"/>
      <c r="B41" s="129"/>
      <c r="C41" s="129"/>
      <c r="D41" s="129"/>
      <c r="E41" s="130"/>
      <c r="F41" s="129"/>
      <c r="G41" s="129"/>
      <c r="H41" s="106"/>
      <c r="I41" s="106"/>
      <c r="J41" s="106"/>
      <c r="K41" s="106"/>
      <c r="L41" s="106"/>
      <c r="M41" s="106"/>
      <c r="N41" s="106"/>
      <c r="O41" s="106"/>
    </row>
    <row r="42" spans="1:18" x14ac:dyDescent="0.25">
      <c r="A42" s="20"/>
      <c r="B42" s="20"/>
      <c r="C42" s="20"/>
      <c r="D42" s="20"/>
      <c r="E42" s="46"/>
      <c r="F42" s="20"/>
      <c r="G42" s="20"/>
    </row>
    <row r="43" spans="1:18" x14ac:dyDescent="0.25">
      <c r="H43" s="29"/>
      <c r="I43" s="98"/>
    </row>
    <row r="44" spans="1:18" x14ac:dyDescent="0.25">
      <c r="G44" s="125"/>
    </row>
    <row r="46" spans="1:18" x14ac:dyDescent="0.25">
      <c r="H46" s="126"/>
    </row>
    <row r="47" spans="1:18" x14ac:dyDescent="0.25">
      <c r="H47" s="126"/>
    </row>
    <row r="48" spans="1:18" x14ac:dyDescent="0.25">
      <c r="H48" s="126"/>
    </row>
    <row r="57" spans="7:8" x14ac:dyDescent="0.25">
      <c r="G57" s="127"/>
      <c r="H57" s="127"/>
    </row>
    <row r="61" spans="7:8" x14ac:dyDescent="0.25">
      <c r="H61" s="127"/>
    </row>
    <row r="62" spans="7:8" x14ac:dyDescent="0.25">
      <c r="G62" s="127"/>
      <c r="H62" s="127"/>
    </row>
  </sheetData>
  <mergeCells count="4">
    <mergeCell ref="A4:A5"/>
    <mergeCell ref="A14:A15"/>
    <mergeCell ref="A24:A25"/>
    <mergeCell ref="A34:A3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2"/>
  <sheetViews>
    <sheetView showGridLines="0" workbookViewId="0">
      <selection activeCell="F25" sqref="F25"/>
    </sheetView>
  </sheetViews>
  <sheetFormatPr baseColWidth="10" defaultRowHeight="15" x14ac:dyDescent="0.25"/>
  <cols>
    <col min="1" max="1" width="16.5703125" bestFit="1" customWidth="1"/>
    <col min="2" max="2" width="38.140625" customWidth="1"/>
    <col min="3" max="3" width="15.85546875" bestFit="1" customWidth="1"/>
    <col min="5" max="5" width="31.28515625" bestFit="1" customWidth="1"/>
    <col min="6" max="6" width="19.42578125" customWidth="1"/>
    <col min="7" max="7" width="26" bestFit="1" customWidth="1"/>
    <col min="8" max="8" width="41.85546875" bestFit="1" customWidth="1"/>
    <col min="9" max="11" width="12.5703125" bestFit="1" customWidth="1"/>
  </cols>
  <sheetData>
    <row r="2" spans="2:17" x14ac:dyDescent="0.25">
      <c r="B2" s="122" t="s">
        <v>132</v>
      </c>
      <c r="C2" s="122"/>
      <c r="D2" s="122"/>
      <c r="E2" s="122"/>
      <c r="F2" s="122"/>
    </row>
    <row r="4" spans="2:17" x14ac:dyDescent="0.25">
      <c r="B4" s="56" t="s">
        <v>133</v>
      </c>
      <c r="H4" s="158" t="s">
        <v>134</v>
      </c>
      <c r="I4" s="158"/>
      <c r="J4" s="39"/>
      <c r="O4" s="39" t="s">
        <v>135</v>
      </c>
    </row>
    <row r="5" spans="2:17" x14ac:dyDescent="0.25">
      <c r="H5" t="s">
        <v>136</v>
      </c>
      <c r="I5" s="125">
        <f>C8</f>
        <v>43485</v>
      </c>
      <c r="J5" s="125"/>
      <c r="K5" t="s">
        <v>137</v>
      </c>
      <c r="L5">
        <v>2019</v>
      </c>
      <c r="M5">
        <v>2020</v>
      </c>
      <c r="N5">
        <v>2021</v>
      </c>
      <c r="O5" s="39"/>
      <c r="Q5" t="s">
        <v>138</v>
      </c>
    </row>
    <row r="6" spans="2:17" x14ac:dyDescent="0.25">
      <c r="B6" s="56" t="s">
        <v>139</v>
      </c>
      <c r="H6" t="s">
        <v>140</v>
      </c>
      <c r="I6" s="125">
        <f>C12</f>
        <v>44286</v>
      </c>
      <c r="J6" s="125"/>
      <c r="K6" t="s">
        <v>141</v>
      </c>
      <c r="L6">
        <v>11</v>
      </c>
      <c r="M6">
        <v>12</v>
      </c>
      <c r="N6">
        <v>3</v>
      </c>
      <c r="O6" s="39">
        <f>SUM(L6:N6)</f>
        <v>26</v>
      </c>
    </row>
    <row r="7" spans="2:17" x14ac:dyDescent="0.25">
      <c r="C7" t="s">
        <v>142</v>
      </c>
      <c r="H7" t="s">
        <v>104</v>
      </c>
      <c r="I7" s="16">
        <f>C10</f>
        <v>172500</v>
      </c>
    </row>
    <row r="8" spans="2:17" x14ac:dyDescent="0.25">
      <c r="B8" t="s">
        <v>143</v>
      </c>
      <c r="C8" s="105">
        <v>43485</v>
      </c>
      <c r="H8" t="s">
        <v>144</v>
      </c>
      <c r="I8" s="16">
        <f>C13</f>
        <v>95000</v>
      </c>
    </row>
    <row r="9" spans="2:17" x14ac:dyDescent="0.25">
      <c r="B9" t="s">
        <v>145</v>
      </c>
      <c r="C9" s="210" t="s">
        <v>146</v>
      </c>
      <c r="D9" s="159"/>
      <c r="E9" s="159"/>
      <c r="F9" s="159"/>
    </row>
    <row r="10" spans="2:17" x14ac:dyDescent="0.25">
      <c r="B10" t="s">
        <v>104</v>
      </c>
      <c r="C10" s="161">
        <v>172500</v>
      </c>
    </row>
    <row r="11" spans="2:17" x14ac:dyDescent="0.25">
      <c r="B11" t="s">
        <v>147</v>
      </c>
      <c r="C11" s="160">
        <v>0.25</v>
      </c>
    </row>
    <row r="12" spans="2:17" x14ac:dyDescent="0.25">
      <c r="B12" t="s">
        <v>148</v>
      </c>
      <c r="C12" s="105">
        <v>44286</v>
      </c>
    </row>
    <row r="13" spans="2:17" x14ac:dyDescent="0.25">
      <c r="B13" t="s">
        <v>149</v>
      </c>
      <c r="C13" s="161">
        <v>95000</v>
      </c>
    </row>
    <row r="16" spans="2:17" x14ac:dyDescent="0.25">
      <c r="B16" t="s">
        <v>150</v>
      </c>
      <c r="E16" s="56" t="s">
        <v>151</v>
      </c>
    </row>
    <row r="17" spans="2:7" x14ac:dyDescent="0.25">
      <c r="B17" t="s">
        <v>152</v>
      </c>
      <c r="C17" s="162">
        <v>43497</v>
      </c>
    </row>
    <row r="18" spans="2:7" x14ac:dyDescent="0.25">
      <c r="B18" t="s">
        <v>153</v>
      </c>
      <c r="C18" s="163">
        <v>44286</v>
      </c>
      <c r="E18" t="s">
        <v>154</v>
      </c>
      <c r="F18" s="16">
        <f>+C13</f>
        <v>95000</v>
      </c>
    </row>
    <row r="19" spans="2:7" x14ac:dyDescent="0.25">
      <c r="B19" t="s">
        <v>155</v>
      </c>
      <c r="C19">
        <f>O6</f>
        <v>26</v>
      </c>
      <c r="E19" t="s">
        <v>156</v>
      </c>
      <c r="F19" s="164">
        <f>+C10-C29</f>
        <v>72634</v>
      </c>
      <c r="G19" s="212" t="s">
        <v>157</v>
      </c>
    </row>
    <row r="20" spans="2:7" ht="15.75" thickBot="1" x14ac:dyDescent="0.3">
      <c r="E20" s="56" t="s">
        <v>158</v>
      </c>
      <c r="F20" s="211"/>
    </row>
    <row r="21" spans="2:7" ht="15.75" thickTop="1" x14ac:dyDescent="0.25">
      <c r="B21" t="s">
        <v>104</v>
      </c>
      <c r="C21" s="16">
        <f>+C10</f>
        <v>172500</v>
      </c>
      <c r="E21" s="56" t="s">
        <v>159</v>
      </c>
      <c r="F21" s="62">
        <f>F18-F19</f>
        <v>22366</v>
      </c>
    </row>
    <row r="22" spans="2:7" x14ac:dyDescent="0.25">
      <c r="B22" t="s">
        <v>160</v>
      </c>
      <c r="C22" s="126">
        <v>0.25</v>
      </c>
    </row>
    <row r="23" spans="2:7" x14ac:dyDescent="0.25">
      <c r="B23" t="s">
        <v>161</v>
      </c>
      <c r="C23" s="16">
        <f>+C21*C22</f>
        <v>43125</v>
      </c>
      <c r="E23" s="20"/>
    </row>
    <row r="24" spans="2:7" x14ac:dyDescent="0.25">
      <c r="B24" t="s">
        <v>162</v>
      </c>
      <c r="C24">
        <v>12</v>
      </c>
      <c r="E24" s="47"/>
    </row>
    <row r="25" spans="2:7" x14ac:dyDescent="0.25">
      <c r="B25" t="s">
        <v>163</v>
      </c>
      <c r="C25" s="84">
        <f>+C23/C24</f>
        <v>3593.75</v>
      </c>
      <c r="F25" s="165" t="s">
        <v>164</v>
      </c>
    </row>
    <row r="26" spans="2:7" x14ac:dyDescent="0.25">
      <c r="B26" t="s">
        <v>165</v>
      </c>
      <c r="C26" s="16">
        <f>+C19</f>
        <v>26</v>
      </c>
    </row>
    <row r="27" spans="2:7" x14ac:dyDescent="0.25">
      <c r="B27" s="14" t="s">
        <v>166</v>
      </c>
      <c r="C27" s="166">
        <f>+C25*C26</f>
        <v>93437.5</v>
      </c>
    </row>
    <row r="28" spans="2:7" x14ac:dyDescent="0.25">
      <c r="B28" s="167" t="s">
        <v>167</v>
      </c>
      <c r="C28" s="168">
        <f>TRUNC((C33/C34),4)</f>
        <v>1.0688</v>
      </c>
      <c r="E28" s="20"/>
      <c r="F28" s="169"/>
    </row>
    <row r="29" spans="2:7" x14ac:dyDescent="0.25">
      <c r="B29" s="14" t="s">
        <v>168</v>
      </c>
      <c r="C29" s="170">
        <f>+C27*C28</f>
        <v>99866</v>
      </c>
      <c r="E29" s="20"/>
      <c r="F29" s="169"/>
    </row>
    <row r="30" spans="2:7" x14ac:dyDescent="0.25">
      <c r="C30" s="171"/>
      <c r="E30" s="20"/>
      <c r="F30" s="169"/>
    </row>
    <row r="31" spans="2:7" x14ac:dyDescent="0.25">
      <c r="B31" s="56" t="s">
        <v>169</v>
      </c>
      <c r="C31" s="171"/>
      <c r="E31" s="20"/>
      <c r="F31" s="169"/>
    </row>
    <row r="32" spans="2:7" x14ac:dyDescent="0.25">
      <c r="C32" s="171"/>
      <c r="E32" s="20"/>
      <c r="F32" s="169"/>
    </row>
    <row r="33" spans="1:17" x14ac:dyDescent="0.25">
      <c r="A33" t="s">
        <v>170</v>
      </c>
      <c r="B33" s="167" t="s">
        <v>171</v>
      </c>
      <c r="C33" s="172">
        <f>[2]INPC!B3</f>
        <v>110.21</v>
      </c>
      <c r="E33" s="20"/>
      <c r="F33" s="169"/>
    </row>
    <row r="34" spans="1:17" x14ac:dyDescent="0.25">
      <c r="A34" t="s">
        <v>172</v>
      </c>
      <c r="B34" s="167" t="s">
        <v>173</v>
      </c>
      <c r="C34" s="173">
        <f>[2]INPC!B5</f>
        <v>103.108</v>
      </c>
    </row>
    <row r="38" spans="1:17" x14ac:dyDescent="0.25">
      <c r="B38" t="s">
        <v>174</v>
      </c>
      <c r="I38" s="174" t="s">
        <v>175</v>
      </c>
    </row>
    <row r="39" spans="1:17" ht="15" customHeight="1" x14ac:dyDescent="0.25">
      <c r="B39" s="175" t="s">
        <v>176</v>
      </c>
      <c r="C39" s="176"/>
      <c r="D39" s="176"/>
      <c r="E39" s="176"/>
      <c r="F39" s="176"/>
      <c r="G39" s="177"/>
      <c r="I39" s="178" t="s">
        <v>177</v>
      </c>
      <c r="J39" s="179"/>
      <c r="K39" s="179"/>
      <c r="L39" s="179"/>
      <c r="M39" s="179"/>
      <c r="N39" s="179"/>
      <c r="O39" s="179"/>
      <c r="P39" s="179"/>
      <c r="Q39" s="180"/>
    </row>
    <row r="40" spans="1:17" ht="15" customHeight="1" x14ac:dyDescent="0.25">
      <c r="B40" s="181"/>
      <c r="C40" s="182"/>
      <c r="D40" s="182"/>
      <c r="E40" s="182"/>
      <c r="F40" s="182"/>
      <c r="G40" s="183"/>
      <c r="I40" s="184"/>
      <c r="J40" s="185"/>
      <c r="K40" s="185"/>
      <c r="L40" s="185"/>
      <c r="M40" s="185"/>
      <c r="N40" s="185"/>
      <c r="O40" s="185"/>
      <c r="P40" s="185"/>
      <c r="Q40" s="186"/>
    </row>
    <row r="41" spans="1:17" ht="15" customHeight="1" x14ac:dyDescent="0.25">
      <c r="B41" s="187"/>
      <c r="C41" s="188"/>
      <c r="D41" s="188"/>
      <c r="E41" s="188"/>
      <c r="F41" s="188"/>
      <c r="G41" s="189"/>
      <c r="I41" s="190"/>
      <c r="J41" s="191"/>
      <c r="K41" s="191"/>
      <c r="L41" s="191"/>
      <c r="M41" s="191"/>
      <c r="N41" s="191"/>
      <c r="O41" s="191"/>
      <c r="P41" s="191"/>
      <c r="Q41" s="192"/>
    </row>
    <row r="42" spans="1:17" x14ac:dyDescent="0.25">
      <c r="B42" s="120"/>
    </row>
    <row r="43" spans="1:17" x14ac:dyDescent="0.25">
      <c r="B43" s="193" t="s">
        <v>178</v>
      </c>
      <c r="C43" s="194"/>
      <c r="D43" s="194"/>
      <c r="E43" s="194"/>
      <c r="F43" s="194"/>
      <c r="G43" s="195"/>
    </row>
    <row r="44" spans="1:17" x14ac:dyDescent="0.25">
      <c r="B44" s="196"/>
      <c r="C44" s="197"/>
      <c r="D44" s="197"/>
      <c r="E44" s="197"/>
      <c r="F44" s="197"/>
      <c r="G44" s="198"/>
    </row>
    <row r="45" spans="1:17" x14ac:dyDescent="0.25">
      <c r="B45" s="199"/>
      <c r="C45" s="200"/>
      <c r="D45" s="200"/>
      <c r="E45" s="200"/>
      <c r="F45" s="200"/>
      <c r="G45" s="201"/>
    </row>
    <row r="47" spans="1:17" x14ac:dyDescent="0.25">
      <c r="A47" s="202" t="s">
        <v>179</v>
      </c>
      <c r="B47" s="202"/>
      <c r="C47" s="202"/>
    </row>
    <row r="48" spans="1:17" x14ac:dyDescent="0.25">
      <c r="B48" s="20" t="s">
        <v>111</v>
      </c>
      <c r="C48" s="169">
        <v>2021</v>
      </c>
    </row>
    <row r="49" spans="1:11" x14ac:dyDescent="0.25">
      <c r="A49" s="39" t="s">
        <v>180</v>
      </c>
      <c r="B49" s="20" t="s">
        <v>21</v>
      </c>
      <c r="C49" s="169">
        <f>[2]INPC!B3</f>
        <v>110.21</v>
      </c>
      <c r="E49" s="41" t="s">
        <v>181</v>
      </c>
      <c r="F49">
        <f>C49</f>
        <v>110.21</v>
      </c>
    </row>
    <row r="50" spans="1:11" x14ac:dyDescent="0.25">
      <c r="B50" s="203" t="s">
        <v>22</v>
      </c>
      <c r="C50" s="203">
        <f>[2]INPC!C3</f>
        <v>110.907</v>
      </c>
      <c r="E50" s="41"/>
      <c r="F50" s="204">
        <f>C34</f>
        <v>103.108</v>
      </c>
      <c r="H50" s="158" t="s">
        <v>182</v>
      </c>
      <c r="I50" s="158"/>
      <c r="J50" s="158"/>
      <c r="K50" s="158"/>
    </row>
    <row r="51" spans="1:11" x14ac:dyDescent="0.25">
      <c r="A51" s="39" t="s">
        <v>183</v>
      </c>
      <c r="B51" s="20" t="s">
        <v>23</v>
      </c>
      <c r="C51">
        <f>[2]INPC!D3</f>
        <v>111.824</v>
      </c>
      <c r="E51" s="41"/>
      <c r="F51" s="205">
        <f>TRUNC((F49/F50),4)</f>
        <v>1.0688</v>
      </c>
      <c r="I51" t="s">
        <v>21</v>
      </c>
      <c r="J51" t="s">
        <v>22</v>
      </c>
      <c r="K51" t="s">
        <v>23</v>
      </c>
    </row>
    <row r="52" spans="1:11" x14ac:dyDescent="0.25">
      <c r="H52" t="s">
        <v>184</v>
      </c>
      <c r="I52" s="29">
        <v>150000</v>
      </c>
      <c r="J52" s="29">
        <v>250000</v>
      </c>
      <c r="K52" s="29">
        <v>350000</v>
      </c>
    </row>
    <row r="53" spans="1:11" x14ac:dyDescent="0.25">
      <c r="H53" t="s">
        <v>185</v>
      </c>
      <c r="I53" s="98">
        <f>I52</f>
        <v>150000</v>
      </c>
      <c r="J53" s="98">
        <f>I53+J52</f>
        <v>400000</v>
      </c>
      <c r="K53" s="98">
        <f>J53+K52</f>
        <v>750000</v>
      </c>
    </row>
    <row r="54" spans="1:11" x14ac:dyDescent="0.25">
      <c r="H54" t="s">
        <v>186</v>
      </c>
      <c r="K54" s="16">
        <f>F21</f>
        <v>22366</v>
      </c>
    </row>
    <row r="55" spans="1:11" x14ac:dyDescent="0.25">
      <c r="A55" s="206"/>
      <c r="B55" s="206" t="s">
        <v>187</v>
      </c>
      <c r="C55" s="206"/>
      <c r="K55" s="207">
        <f>K53+K54</f>
        <v>772366</v>
      </c>
    </row>
    <row r="56" spans="1:11" x14ac:dyDescent="0.25">
      <c r="B56" s="20" t="s">
        <v>111</v>
      </c>
      <c r="C56" s="169">
        <v>2021</v>
      </c>
      <c r="H56" t="s">
        <v>188</v>
      </c>
      <c r="I56">
        <v>0.1452</v>
      </c>
      <c r="J56">
        <v>0.1452</v>
      </c>
      <c r="K56">
        <v>0.1052</v>
      </c>
    </row>
    <row r="57" spans="1:11" x14ac:dyDescent="0.25">
      <c r="A57" s="208" t="s">
        <v>189</v>
      </c>
      <c r="B57" t="s">
        <v>21</v>
      </c>
      <c r="H57" t="s">
        <v>190</v>
      </c>
      <c r="I57" s="98">
        <f>I53*I56</f>
        <v>21780</v>
      </c>
      <c r="J57" s="98">
        <f>J53*J56</f>
        <v>58080</v>
      </c>
      <c r="K57" s="98">
        <f>K55*K56</f>
        <v>81252.903200000001</v>
      </c>
    </row>
    <row r="58" spans="1:11" x14ac:dyDescent="0.25">
      <c r="A58" s="208"/>
      <c r="B58" t="s">
        <v>22</v>
      </c>
      <c r="H58" t="s">
        <v>191</v>
      </c>
      <c r="I58" s="209">
        <v>0.3</v>
      </c>
      <c r="J58" s="209">
        <v>0.3</v>
      </c>
      <c r="K58" s="209">
        <v>0.3</v>
      </c>
    </row>
    <row r="59" spans="1:11" x14ac:dyDescent="0.25">
      <c r="A59" s="208"/>
      <c r="B59" s="43" t="s">
        <v>23</v>
      </c>
      <c r="H59" t="s">
        <v>192</v>
      </c>
      <c r="I59" s="98">
        <f>I57*I58</f>
        <v>6534</v>
      </c>
      <c r="J59" s="98">
        <f t="shared" ref="J59:K59" si="0">J57*J58</f>
        <v>17424</v>
      </c>
      <c r="K59" s="98">
        <f t="shared" si="0"/>
        <v>24375.87096</v>
      </c>
    </row>
    <row r="60" spans="1:11" x14ac:dyDescent="0.25">
      <c r="B60" t="s">
        <v>24</v>
      </c>
      <c r="H60" t="s">
        <v>193</v>
      </c>
      <c r="I60">
        <v>0</v>
      </c>
      <c r="J60" s="98">
        <f>I62</f>
        <v>6534</v>
      </c>
      <c r="K60" s="98">
        <f>J62</f>
        <v>17424</v>
      </c>
    </row>
    <row r="61" spans="1:11" x14ac:dyDescent="0.25">
      <c r="B61" t="s">
        <v>25</v>
      </c>
      <c r="H61" t="s">
        <v>194</v>
      </c>
      <c r="I61" s="98">
        <f>I59-I60</f>
        <v>6534</v>
      </c>
      <c r="J61" s="98">
        <f>J59-J60</f>
        <v>10890</v>
      </c>
      <c r="K61" s="98">
        <f t="shared" ref="K61" si="1">K59-K60</f>
        <v>6951.8709600000002</v>
      </c>
    </row>
    <row r="62" spans="1:11" x14ac:dyDescent="0.25">
      <c r="B62" t="s">
        <v>26</v>
      </c>
      <c r="H62" t="s">
        <v>195</v>
      </c>
      <c r="I62" s="98">
        <f>I61</f>
        <v>6534</v>
      </c>
      <c r="J62" s="98">
        <f>J60+J61</f>
        <v>17424</v>
      </c>
      <c r="K62" s="98">
        <f>K60+K61</f>
        <v>24375.87096</v>
      </c>
    </row>
  </sheetData>
  <mergeCells count="9">
    <mergeCell ref="E49:E51"/>
    <mergeCell ref="H50:K50"/>
    <mergeCell ref="A57:A59"/>
    <mergeCell ref="B2:F2"/>
    <mergeCell ref="H4:I4"/>
    <mergeCell ref="B39:G41"/>
    <mergeCell ref="I39:Q41"/>
    <mergeCell ref="B43:G45"/>
    <mergeCell ref="A47:C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48"/>
  <sheetViews>
    <sheetView showGridLines="0" workbookViewId="0">
      <selection activeCell="K17" sqref="K17"/>
    </sheetView>
  </sheetViews>
  <sheetFormatPr baseColWidth="10" defaultColWidth="11.42578125" defaultRowHeight="15" x14ac:dyDescent="0.25"/>
  <cols>
    <col min="1" max="1" width="3.28515625" customWidth="1"/>
    <col min="2" max="2" width="12.28515625" customWidth="1"/>
    <col min="3" max="3" width="24" customWidth="1"/>
    <col min="4" max="4" width="14" hidden="1" customWidth="1"/>
    <col min="5" max="5" width="12.7109375" hidden="1" customWidth="1"/>
    <col min="6" max="6" width="13.5703125" customWidth="1"/>
    <col min="7" max="8" width="13.42578125" customWidth="1"/>
    <col min="9" max="9" width="14.5703125" customWidth="1"/>
    <col min="10" max="10" width="15.42578125" customWidth="1"/>
    <col min="11" max="11" width="14" customWidth="1"/>
    <col min="12" max="12" width="14.28515625" customWidth="1"/>
    <col min="13" max="13" width="15.5703125" customWidth="1"/>
    <col min="14" max="14" width="14.140625" customWidth="1"/>
    <col min="15" max="15" width="14.42578125" customWidth="1"/>
    <col min="16" max="16" width="13.42578125" bestFit="1" customWidth="1"/>
    <col min="25" max="25" width="15.7109375" customWidth="1"/>
    <col min="26" max="26" width="21.85546875" customWidth="1"/>
    <col min="27" max="27" width="25.85546875" bestFit="1" customWidth="1"/>
    <col min="28" max="28" width="12.42578125" bestFit="1" customWidth="1"/>
    <col min="30" max="30" width="12.42578125" bestFit="1" customWidth="1"/>
    <col min="33" max="33" width="16.5703125" customWidth="1"/>
    <col min="34" max="35" width="15" bestFit="1" customWidth="1"/>
    <col min="39" max="39" width="13.42578125" bestFit="1" customWidth="1"/>
    <col min="40" max="40" width="14.140625" bestFit="1" customWidth="1"/>
    <col min="41" max="41" width="13.42578125" bestFit="1" customWidth="1"/>
    <col min="47" max="47" width="13.42578125" bestFit="1" customWidth="1"/>
    <col min="54" max="55" width="15" bestFit="1" customWidth="1"/>
    <col min="56" max="56" width="17.5703125" customWidth="1"/>
    <col min="61" max="61" width="16" bestFit="1" customWidth="1"/>
  </cols>
  <sheetData>
    <row r="1" spans="2:63" x14ac:dyDescent="0.25">
      <c r="B1" s="122"/>
      <c r="C1" s="122"/>
      <c r="D1" s="122"/>
      <c r="E1" s="122"/>
      <c r="F1" s="122"/>
      <c r="G1" s="122"/>
      <c r="H1" s="122"/>
      <c r="I1" s="122"/>
      <c r="J1" s="122"/>
      <c r="K1" s="122"/>
      <c r="L1" s="122"/>
      <c r="M1" s="122"/>
      <c r="N1" s="122"/>
      <c r="O1" s="122"/>
    </row>
    <row r="2" spans="2:63" x14ac:dyDescent="0.25">
      <c r="B2" s="122" t="s">
        <v>196</v>
      </c>
      <c r="C2" s="122"/>
      <c r="D2" s="122"/>
      <c r="E2" s="122"/>
      <c r="F2" s="122"/>
      <c r="G2" s="122"/>
      <c r="H2" s="122"/>
      <c r="I2" s="122"/>
      <c r="J2" s="122"/>
      <c r="K2" s="122"/>
      <c r="L2" s="122"/>
      <c r="M2" s="122"/>
      <c r="N2" s="122"/>
      <c r="O2" s="122"/>
    </row>
    <row r="3" spans="2:63" x14ac:dyDescent="0.25">
      <c r="B3" s="122" t="s">
        <v>197</v>
      </c>
      <c r="C3" s="122"/>
      <c r="D3" s="122"/>
      <c r="E3" s="122"/>
      <c r="F3" s="122"/>
      <c r="G3" s="122"/>
      <c r="H3" s="122"/>
      <c r="I3" s="122"/>
      <c r="J3" s="122"/>
      <c r="K3" s="122"/>
      <c r="L3" s="122"/>
      <c r="M3" s="122"/>
      <c r="N3" s="122"/>
      <c r="O3" s="122"/>
    </row>
    <row r="4" spans="2:63" x14ac:dyDescent="0.25">
      <c r="B4" s="213"/>
      <c r="C4" s="213"/>
      <c r="D4" s="213"/>
      <c r="E4" s="213"/>
      <c r="F4" s="213"/>
      <c r="G4" s="213">
        <v>1</v>
      </c>
      <c r="H4" s="213">
        <v>2</v>
      </c>
      <c r="I4" s="213">
        <v>3</v>
      </c>
      <c r="J4" s="213">
        <v>4</v>
      </c>
      <c r="K4" s="214">
        <v>5</v>
      </c>
      <c r="L4" s="213">
        <v>6</v>
      </c>
      <c r="M4" s="213">
        <v>7</v>
      </c>
      <c r="N4" s="213">
        <v>8</v>
      </c>
      <c r="O4" s="213">
        <v>9</v>
      </c>
    </row>
    <row r="5" spans="2:63" x14ac:dyDescent="0.25">
      <c r="G5" s="215" t="s">
        <v>198</v>
      </c>
      <c r="H5" s="216"/>
      <c r="I5" s="216"/>
      <c r="J5" s="216"/>
      <c r="K5" s="217"/>
      <c r="L5" s="216"/>
      <c r="M5" s="216"/>
      <c r="N5" s="216"/>
      <c r="O5" s="216" t="s">
        <v>199</v>
      </c>
    </row>
    <row r="6" spans="2:63" x14ac:dyDescent="0.25">
      <c r="B6" s="218" t="s">
        <v>200</v>
      </c>
      <c r="C6" s="219"/>
      <c r="D6" s="220" t="s">
        <v>21</v>
      </c>
      <c r="E6" s="220" t="s">
        <v>22</v>
      </c>
      <c r="F6" s="220" t="s">
        <v>23</v>
      </c>
      <c r="G6" s="220" t="s">
        <v>24</v>
      </c>
      <c r="H6" s="220" t="s">
        <v>25</v>
      </c>
      <c r="I6" s="220" t="s">
        <v>26</v>
      </c>
      <c r="J6" s="220" t="s">
        <v>201</v>
      </c>
      <c r="K6" s="221" t="s">
        <v>28</v>
      </c>
      <c r="L6" s="222" t="s">
        <v>29</v>
      </c>
      <c r="M6" s="220" t="s">
        <v>30</v>
      </c>
      <c r="N6" s="223" t="s">
        <v>31</v>
      </c>
      <c r="O6" s="222" t="s">
        <v>32</v>
      </c>
      <c r="Y6" t="s">
        <v>202</v>
      </c>
    </row>
    <row r="7" spans="2:63" x14ac:dyDescent="0.25">
      <c r="B7" s="224"/>
      <c r="C7" s="225"/>
      <c r="D7" s="226"/>
      <c r="E7" s="226"/>
      <c r="F7" s="226"/>
      <c r="G7" s="226"/>
      <c r="H7" s="226"/>
      <c r="I7" s="226"/>
      <c r="J7" s="226"/>
      <c r="K7" s="227"/>
      <c r="L7" s="228"/>
      <c r="M7" s="226"/>
      <c r="N7" s="229"/>
      <c r="O7" s="228"/>
      <c r="BI7" t="s">
        <v>203</v>
      </c>
      <c r="BJ7" t="s">
        <v>204</v>
      </c>
    </row>
    <row r="8" spans="2:63" x14ac:dyDescent="0.25">
      <c r="B8" s="230" t="s">
        <v>205</v>
      </c>
      <c r="C8" s="231"/>
      <c r="D8" s="232">
        <v>310000</v>
      </c>
      <c r="E8" s="232">
        <v>450000</v>
      </c>
      <c r="F8" s="232">
        <v>250000</v>
      </c>
      <c r="G8" s="232">
        <v>661000</v>
      </c>
      <c r="H8" s="232">
        <v>750000</v>
      </c>
      <c r="I8" s="232">
        <v>410000</v>
      </c>
      <c r="J8" s="232">
        <v>290000</v>
      </c>
      <c r="K8" s="232">
        <v>580077</v>
      </c>
      <c r="L8" s="232">
        <v>450000</v>
      </c>
      <c r="M8" s="232">
        <v>550000</v>
      </c>
      <c r="N8" s="233">
        <v>450000</v>
      </c>
      <c r="O8" s="232">
        <v>720000</v>
      </c>
      <c r="P8" s="234"/>
      <c r="Y8" t="s">
        <v>206</v>
      </c>
      <c r="BI8">
        <v>2020</v>
      </c>
      <c r="BJ8">
        <v>2021</v>
      </c>
      <c r="BK8">
        <v>2022</v>
      </c>
    </row>
    <row r="9" spans="2:63" ht="15.75" thickBot="1" x14ac:dyDescent="0.3">
      <c r="B9" s="230"/>
      <c r="C9" s="231"/>
      <c r="D9" s="235"/>
      <c r="E9" s="235"/>
      <c r="F9" s="235"/>
      <c r="G9" s="235"/>
      <c r="H9" s="235"/>
      <c r="I9" s="235"/>
      <c r="J9" s="235"/>
      <c r="K9" s="235"/>
      <c r="L9" s="235"/>
      <c r="M9" s="235"/>
      <c r="N9" s="236"/>
      <c r="O9" s="235"/>
    </row>
    <row r="10" spans="2:63" ht="15.75" thickBot="1" x14ac:dyDescent="0.3">
      <c r="B10" s="230" t="s">
        <v>207</v>
      </c>
      <c r="C10" s="237"/>
      <c r="D10" s="238">
        <f>+D8</f>
        <v>310000</v>
      </c>
      <c r="E10" s="239">
        <f>+E8</f>
        <v>450000</v>
      </c>
      <c r="F10" s="240">
        <f>+F8</f>
        <v>250000</v>
      </c>
      <c r="G10" s="240">
        <f t="shared" ref="G10:O10" si="0">+G8</f>
        <v>661000</v>
      </c>
      <c r="H10" s="240">
        <f t="shared" si="0"/>
        <v>750000</v>
      </c>
      <c r="I10" s="240">
        <f t="shared" si="0"/>
        <v>410000</v>
      </c>
      <c r="J10" s="240">
        <f t="shared" si="0"/>
        <v>290000</v>
      </c>
      <c r="K10" s="240">
        <f>+K8</f>
        <v>580077</v>
      </c>
      <c r="L10" s="240">
        <f t="shared" si="0"/>
        <v>450000</v>
      </c>
      <c r="M10" s="240">
        <f t="shared" si="0"/>
        <v>550000</v>
      </c>
      <c r="N10" s="241">
        <f t="shared" si="0"/>
        <v>450000</v>
      </c>
      <c r="O10" s="241">
        <f t="shared" si="0"/>
        <v>720000</v>
      </c>
      <c r="BI10" s="127">
        <v>100000</v>
      </c>
      <c r="BJ10" s="127">
        <v>50000</v>
      </c>
      <c r="BK10" s="127">
        <v>70000</v>
      </c>
    </row>
    <row r="11" spans="2:63" x14ac:dyDescent="0.25">
      <c r="B11" s="230" t="s">
        <v>208</v>
      </c>
      <c r="C11" s="237"/>
      <c r="D11" s="242">
        <f>+D10</f>
        <v>310000</v>
      </c>
      <c r="E11" s="243">
        <f>+D11+E10</f>
        <v>760000</v>
      </c>
      <c r="F11" s="242">
        <f>+E11+F10</f>
        <v>1010000</v>
      </c>
      <c r="G11" s="242">
        <f t="shared" ref="G11:O11" si="1">+F11+G10</f>
        <v>1671000</v>
      </c>
      <c r="H11" s="242">
        <f t="shared" si="1"/>
        <v>2421000</v>
      </c>
      <c r="I11" s="242">
        <f t="shared" si="1"/>
        <v>2831000</v>
      </c>
      <c r="J11" s="242">
        <f t="shared" si="1"/>
        <v>3121000</v>
      </c>
      <c r="K11" s="242">
        <f t="shared" si="1"/>
        <v>3701077</v>
      </c>
      <c r="L11" s="242">
        <f t="shared" si="1"/>
        <v>4151077</v>
      </c>
      <c r="M11" s="242">
        <f t="shared" si="1"/>
        <v>4701077</v>
      </c>
      <c r="N11" s="244">
        <f t="shared" si="1"/>
        <v>5151077</v>
      </c>
      <c r="O11" s="242">
        <f t="shared" si="1"/>
        <v>5871077</v>
      </c>
      <c r="BJ11" t="s">
        <v>209</v>
      </c>
    </row>
    <row r="12" spans="2:63" ht="18.75" x14ac:dyDescent="0.3">
      <c r="B12" s="230" t="s">
        <v>210</v>
      </c>
      <c r="C12" s="231"/>
      <c r="D12" s="245">
        <v>0.152</v>
      </c>
      <c r="E12" s="245">
        <v>0.152</v>
      </c>
      <c r="F12" s="246">
        <v>0.1203</v>
      </c>
      <c r="G12" s="246">
        <v>0.1203</v>
      </c>
      <c r="H12" s="246">
        <v>0.1203</v>
      </c>
      <c r="I12" s="246">
        <v>0.1203</v>
      </c>
      <c r="J12" s="246">
        <v>0.1203</v>
      </c>
      <c r="K12" s="246">
        <v>0.1203</v>
      </c>
      <c r="L12" s="246">
        <v>0.1203</v>
      </c>
      <c r="M12" s="246">
        <v>0.1203</v>
      </c>
      <c r="N12" s="247">
        <v>0.1203</v>
      </c>
      <c r="O12" s="246">
        <v>0.1203</v>
      </c>
      <c r="Y12" s="248" t="s">
        <v>211</v>
      </c>
      <c r="Z12" s="248"/>
      <c r="AA12" s="248"/>
      <c r="AB12" s="248"/>
      <c r="AC12" s="248"/>
      <c r="AD12" s="248"/>
      <c r="AF12" s="249" t="s">
        <v>212</v>
      </c>
      <c r="AG12" s="249"/>
      <c r="AH12" s="249"/>
      <c r="AI12" s="249"/>
      <c r="AJ12" s="249"/>
      <c r="AL12" s="250" t="s">
        <v>213</v>
      </c>
      <c r="AM12" s="250"/>
      <c r="AN12" s="250"/>
      <c r="AO12" s="250"/>
      <c r="AS12" s="15" t="s">
        <v>214</v>
      </c>
      <c r="AT12" s="15"/>
      <c r="AU12" s="15"/>
      <c r="AV12" s="15"/>
      <c r="AW12" s="15"/>
      <c r="AX12" s="15"/>
      <c r="AZ12" s="249" t="s">
        <v>212</v>
      </c>
      <c r="BA12" s="249"/>
      <c r="BB12" s="249"/>
      <c r="BC12" s="249"/>
      <c r="BD12" s="249"/>
      <c r="BJ12" s="127">
        <v>50000</v>
      </c>
      <c r="BK12" t="s">
        <v>215</v>
      </c>
    </row>
    <row r="13" spans="2:63" x14ac:dyDescent="0.25">
      <c r="B13" s="230" t="s">
        <v>190</v>
      </c>
      <c r="C13" s="231"/>
      <c r="D13" s="251">
        <f>+D11*D12</f>
        <v>47120</v>
      </c>
      <c r="E13" s="251">
        <f t="shared" ref="E13:O13" si="2">+E11*E12</f>
        <v>115520</v>
      </c>
      <c r="F13" s="251">
        <f t="shared" si="2"/>
        <v>121503</v>
      </c>
      <c r="G13" s="251">
        <f>+G11*G12</f>
        <v>201021.30000000002</v>
      </c>
      <c r="H13" s="251">
        <f t="shared" si="2"/>
        <v>291246.3</v>
      </c>
      <c r="I13" s="251">
        <f t="shared" si="2"/>
        <v>340569.3</v>
      </c>
      <c r="J13" s="251">
        <f t="shared" si="2"/>
        <v>375456.3</v>
      </c>
      <c r="K13" s="251">
        <f t="shared" si="2"/>
        <v>445239.56310000003</v>
      </c>
      <c r="L13" s="251">
        <f t="shared" si="2"/>
        <v>499374.56310000003</v>
      </c>
      <c r="M13" s="251">
        <f t="shared" si="2"/>
        <v>565539.56310000003</v>
      </c>
      <c r="N13" s="251">
        <f t="shared" si="2"/>
        <v>619674.56310000003</v>
      </c>
      <c r="O13" s="251">
        <f t="shared" si="2"/>
        <v>706290.56310000003</v>
      </c>
      <c r="P13" s="234"/>
      <c r="Y13" s="248"/>
      <c r="Z13" s="248"/>
      <c r="AA13" s="248"/>
      <c r="AB13" s="248"/>
      <c r="AC13" s="248"/>
      <c r="AD13" s="248"/>
      <c r="AH13" s="39">
        <v>2015</v>
      </c>
      <c r="AI13" s="39">
        <v>2016</v>
      </c>
      <c r="AN13">
        <v>2015</v>
      </c>
      <c r="AO13">
        <v>2016</v>
      </c>
      <c r="AS13" t="s">
        <v>216</v>
      </c>
      <c r="AT13" t="s">
        <v>217</v>
      </c>
      <c r="BB13" s="39">
        <v>2015</v>
      </c>
      <c r="BC13" s="39">
        <v>2016</v>
      </c>
      <c r="BD13">
        <v>2017</v>
      </c>
      <c r="BK13" t="s">
        <v>218</v>
      </c>
    </row>
    <row r="14" spans="2:63" ht="15.75" thickBot="1" x14ac:dyDescent="0.3">
      <c r="B14" s="230" t="s">
        <v>219</v>
      </c>
      <c r="C14" s="231"/>
      <c r="D14" s="252"/>
      <c r="E14" s="252"/>
      <c r="F14" s="252"/>
      <c r="G14" s="252"/>
      <c r="H14" s="252"/>
      <c r="I14" s="252"/>
      <c r="J14" s="252"/>
      <c r="K14" s="252"/>
      <c r="L14" s="252"/>
      <c r="M14" s="252"/>
      <c r="N14" s="252"/>
      <c r="O14" s="252"/>
      <c r="Y14" t="s">
        <v>216</v>
      </c>
      <c r="Z14" t="s">
        <v>220</v>
      </c>
      <c r="AF14" t="s">
        <v>34</v>
      </c>
      <c r="AH14" s="29">
        <v>5115000</v>
      </c>
      <c r="AI14" s="29">
        <v>4155000</v>
      </c>
      <c r="AJ14" s="29"/>
      <c r="AL14" t="s">
        <v>221</v>
      </c>
      <c r="AN14" s="98">
        <f>AH17</f>
        <v>-675000</v>
      </c>
      <c r="AO14" s="98">
        <f>Z40</f>
        <v>687045.75975000008</v>
      </c>
      <c r="AP14" t="s">
        <v>222</v>
      </c>
      <c r="AT14" s="253" t="s">
        <v>223</v>
      </c>
      <c r="AU14" s="253"/>
      <c r="AV14" s="253"/>
      <c r="AW14" s="253"/>
      <c r="AZ14" t="s">
        <v>34</v>
      </c>
      <c r="BB14" s="29">
        <v>5115000</v>
      </c>
      <c r="BC14" s="29">
        <v>4155000</v>
      </c>
      <c r="BD14" s="29">
        <v>6500000</v>
      </c>
      <c r="BI14" t="s">
        <v>224</v>
      </c>
    </row>
    <row r="15" spans="2:63" x14ac:dyDescent="0.25">
      <c r="B15" s="254" t="s">
        <v>225</v>
      </c>
      <c r="C15" s="255"/>
      <c r="D15" s="256">
        <f>+D13-D14</f>
        <v>47120</v>
      </c>
      <c r="E15" s="256">
        <f t="shared" ref="E15:O15" si="3">+E13-E14</f>
        <v>115520</v>
      </c>
      <c r="F15" s="256">
        <f>+F13-F14</f>
        <v>121503</v>
      </c>
      <c r="G15" s="256">
        <f>+G13-G14</f>
        <v>201021.30000000002</v>
      </c>
      <c r="H15" s="256">
        <f t="shared" si="3"/>
        <v>291246.3</v>
      </c>
      <c r="I15" s="256">
        <f t="shared" si="3"/>
        <v>340569.3</v>
      </c>
      <c r="J15" s="256">
        <f t="shared" si="3"/>
        <v>375456.3</v>
      </c>
      <c r="K15" s="256">
        <f t="shared" si="3"/>
        <v>445239.56310000003</v>
      </c>
      <c r="L15" s="256">
        <f t="shared" si="3"/>
        <v>499374.56310000003</v>
      </c>
      <c r="M15" s="256">
        <f t="shared" si="3"/>
        <v>565539.56310000003</v>
      </c>
      <c r="N15" s="256">
        <f t="shared" si="3"/>
        <v>619674.56310000003</v>
      </c>
      <c r="O15" s="256">
        <f t="shared" si="3"/>
        <v>706290.56310000003</v>
      </c>
      <c r="U15">
        <v>480000</v>
      </c>
      <c r="Z15" s="253" t="s">
        <v>226</v>
      </c>
      <c r="AA15" s="253"/>
      <c r="AB15" s="253"/>
      <c r="AC15" s="253"/>
      <c r="AD15" s="253"/>
      <c r="AF15" t="s">
        <v>227</v>
      </c>
      <c r="AH15" s="29">
        <v>5790000</v>
      </c>
      <c r="AI15" s="29">
        <v>3675000</v>
      </c>
      <c r="AJ15" s="29"/>
      <c r="AL15" t="s">
        <v>228</v>
      </c>
      <c r="AO15" s="29">
        <v>480000</v>
      </c>
      <c r="AZ15" t="s">
        <v>227</v>
      </c>
      <c r="BB15" s="29">
        <v>5790000</v>
      </c>
      <c r="BC15" s="29">
        <v>3675000</v>
      </c>
      <c r="BD15" s="29">
        <v>5000000</v>
      </c>
    </row>
    <row r="16" spans="2:63" x14ac:dyDescent="0.25">
      <c r="B16" s="257"/>
      <c r="C16" s="258"/>
      <c r="D16" s="259"/>
      <c r="E16" s="259"/>
      <c r="F16" s="259"/>
      <c r="G16" s="259"/>
      <c r="H16" s="259"/>
      <c r="I16" s="259"/>
      <c r="J16" s="259"/>
      <c r="K16" s="259"/>
      <c r="L16" s="259"/>
      <c r="M16" s="259"/>
      <c r="N16" s="259"/>
      <c r="O16" s="259"/>
      <c r="AF16" t="s">
        <v>229</v>
      </c>
      <c r="AH16" s="29"/>
      <c r="AI16" s="29"/>
      <c r="AJ16" s="29"/>
      <c r="AL16" t="s">
        <v>209</v>
      </c>
      <c r="AN16" s="98">
        <f>Z38</f>
        <v>684922.5</v>
      </c>
      <c r="AO16" s="98">
        <f>AO14-AO15</f>
        <v>207045.75975000008</v>
      </c>
      <c r="AP16" t="s">
        <v>230</v>
      </c>
      <c r="AS16" t="s">
        <v>231</v>
      </c>
      <c r="AT16" t="s">
        <v>232</v>
      </c>
      <c r="AZ16" t="s">
        <v>229</v>
      </c>
      <c r="BB16" s="29"/>
      <c r="BC16" s="29"/>
      <c r="BD16" s="29"/>
    </row>
    <row r="17" spans="2:56" x14ac:dyDescent="0.25">
      <c r="B17" s="230" t="s">
        <v>233</v>
      </c>
      <c r="C17" s="231"/>
      <c r="D17" s="260">
        <v>0.3</v>
      </c>
      <c r="E17" s="260">
        <v>0.3</v>
      </c>
      <c r="F17" s="260">
        <v>0.3</v>
      </c>
      <c r="G17" s="260">
        <v>0.3</v>
      </c>
      <c r="H17" s="260">
        <v>0.3</v>
      </c>
      <c r="I17" s="260">
        <v>0.3</v>
      </c>
      <c r="J17" s="260">
        <v>0.3</v>
      </c>
      <c r="K17" s="260">
        <v>0.3</v>
      </c>
      <c r="L17" s="260">
        <v>0.3</v>
      </c>
      <c r="M17" s="260">
        <v>0.3</v>
      </c>
      <c r="N17" s="261">
        <v>0.3</v>
      </c>
      <c r="O17" s="260">
        <v>0.3</v>
      </c>
      <c r="AF17" t="s">
        <v>190</v>
      </c>
      <c r="AH17" s="29">
        <f>AH14-AH15</f>
        <v>-675000</v>
      </c>
      <c r="AI17" s="29">
        <f>AI14-AI15</f>
        <v>480000</v>
      </c>
      <c r="AJ17" s="29"/>
      <c r="AN17" t="s">
        <v>234</v>
      </c>
      <c r="AT17" s="253" t="s">
        <v>235</v>
      </c>
      <c r="AZ17" t="s">
        <v>190</v>
      </c>
      <c r="BB17" s="29">
        <f>BB14-BB15</f>
        <v>-675000</v>
      </c>
      <c r="BC17" s="29">
        <f>BC14-BC15</f>
        <v>480000</v>
      </c>
      <c r="BD17" s="29">
        <f>BD14-BD15</f>
        <v>1500000</v>
      </c>
    </row>
    <row r="18" spans="2:56" x14ac:dyDescent="0.25">
      <c r="B18" s="230" t="s">
        <v>236</v>
      </c>
      <c r="C18" s="231"/>
      <c r="D18" s="232">
        <v>0</v>
      </c>
      <c r="E18" s="232">
        <v>0</v>
      </c>
      <c r="F18" s="232">
        <v>0</v>
      </c>
      <c r="G18" s="232">
        <v>0</v>
      </c>
      <c r="H18" s="232">
        <f t="shared" ref="H18:O18" si="4">+H15*H17</f>
        <v>87373.89</v>
      </c>
      <c r="I18" s="232">
        <f t="shared" si="4"/>
        <v>102170.79</v>
      </c>
      <c r="J18" s="232">
        <f t="shared" si="4"/>
        <v>112636.89</v>
      </c>
      <c r="K18" s="232">
        <f t="shared" si="4"/>
        <v>133571.86893</v>
      </c>
      <c r="L18" s="232">
        <f t="shared" si="4"/>
        <v>149812.36893</v>
      </c>
      <c r="M18" s="232">
        <f t="shared" si="4"/>
        <v>169661.86893</v>
      </c>
      <c r="N18" s="233">
        <f t="shared" si="4"/>
        <v>185902.36893</v>
      </c>
      <c r="O18" s="232">
        <f t="shared" si="4"/>
        <v>211887.16893000001</v>
      </c>
      <c r="Y18" t="s">
        <v>237</v>
      </c>
      <c r="AA18" t="s">
        <v>238</v>
      </c>
      <c r="AB18">
        <v>89.046999999999997</v>
      </c>
      <c r="AC18" s="41" t="s">
        <v>239</v>
      </c>
      <c r="AD18" s="262">
        <v>1.0146999999999999</v>
      </c>
      <c r="AH18" s="29"/>
      <c r="AI18" s="29"/>
      <c r="AJ18" s="29"/>
      <c r="BB18" s="29"/>
      <c r="BC18" s="29"/>
      <c r="BD18" s="29"/>
    </row>
    <row r="19" spans="2:56" x14ac:dyDescent="0.25">
      <c r="B19" s="230" t="s">
        <v>240</v>
      </c>
      <c r="C19" s="231"/>
      <c r="D19" s="232"/>
      <c r="E19" s="232">
        <f>+D21</f>
        <v>0</v>
      </c>
      <c r="F19" s="232">
        <f t="shared" ref="F19:O19" si="5">+E21</f>
        <v>0</v>
      </c>
      <c r="G19" s="232">
        <v>0</v>
      </c>
      <c r="H19" s="232">
        <f t="shared" si="5"/>
        <v>0</v>
      </c>
      <c r="I19" s="232">
        <f t="shared" si="5"/>
        <v>87373.89</v>
      </c>
      <c r="J19" s="232">
        <f t="shared" si="5"/>
        <v>102170.79</v>
      </c>
      <c r="K19" s="232">
        <f t="shared" si="5"/>
        <v>112636.89</v>
      </c>
      <c r="L19" s="232">
        <f t="shared" si="5"/>
        <v>133571.86893</v>
      </c>
      <c r="M19" s="232">
        <f t="shared" si="5"/>
        <v>149812.36893</v>
      </c>
      <c r="N19" s="233">
        <f t="shared" si="5"/>
        <v>169661.86893</v>
      </c>
      <c r="O19" s="232">
        <f t="shared" si="5"/>
        <v>185902.36893</v>
      </c>
      <c r="Y19" t="s">
        <v>241</v>
      </c>
      <c r="AB19" s="253">
        <v>87.751999999999995</v>
      </c>
      <c r="AC19" s="41"/>
      <c r="AF19" t="s">
        <v>242</v>
      </c>
      <c r="AH19" s="29"/>
      <c r="AI19" s="29">
        <v>480000</v>
      </c>
      <c r="AJ19" s="29"/>
      <c r="AS19" t="s">
        <v>243</v>
      </c>
      <c r="AT19">
        <v>94.963999999999999</v>
      </c>
      <c r="AU19" s="41" t="s">
        <v>239</v>
      </c>
      <c r="AV19">
        <v>1.0630999999999999</v>
      </c>
      <c r="AZ19" t="s">
        <v>242</v>
      </c>
      <c r="BB19" s="29"/>
      <c r="BC19" s="29">
        <v>480000</v>
      </c>
      <c r="BD19" s="29">
        <f>AU26</f>
        <v>220110.34719022509</v>
      </c>
    </row>
    <row r="20" spans="2:56" ht="15.75" thickBot="1" x14ac:dyDescent="0.3">
      <c r="B20" s="263" t="s">
        <v>244</v>
      </c>
      <c r="C20" s="264"/>
      <c r="D20" s="265">
        <f>+D18-D19</f>
        <v>0</v>
      </c>
      <c r="E20" s="265">
        <f>+E18-E19</f>
        <v>0</v>
      </c>
      <c r="F20" s="265">
        <f>+F18-F19</f>
        <v>0</v>
      </c>
      <c r="G20" s="265">
        <f>+G18-G19</f>
        <v>0</v>
      </c>
      <c r="H20" s="265">
        <f t="shared" ref="H20:O20" si="6">+H18-H19</f>
        <v>87373.89</v>
      </c>
      <c r="I20" s="265">
        <f t="shared" si="6"/>
        <v>14796.899999999994</v>
      </c>
      <c r="J20" s="265">
        <f t="shared" si="6"/>
        <v>10466.100000000006</v>
      </c>
      <c r="K20" s="265">
        <f t="shared" si="6"/>
        <v>20934.978929999997</v>
      </c>
      <c r="L20" s="265">
        <f t="shared" si="6"/>
        <v>16240.5</v>
      </c>
      <c r="M20" s="265">
        <f t="shared" si="6"/>
        <v>19849.5</v>
      </c>
      <c r="N20" s="266">
        <f t="shared" si="6"/>
        <v>16240.5</v>
      </c>
      <c r="O20" s="265">
        <f t="shared" si="6"/>
        <v>25984.800000000017</v>
      </c>
      <c r="AH20" s="29"/>
      <c r="AI20" s="29"/>
      <c r="AJ20" s="29"/>
      <c r="AL20" t="s">
        <v>204</v>
      </c>
      <c r="AM20" s="267">
        <v>480000</v>
      </c>
      <c r="AT20" s="253">
        <v>89.323999999999998</v>
      </c>
      <c r="AU20" s="41"/>
      <c r="BB20" s="29"/>
      <c r="BC20" s="29"/>
      <c r="BD20" s="29"/>
    </row>
    <row r="21" spans="2:56" x14ac:dyDescent="0.25">
      <c r="B21" s="230" t="s">
        <v>195</v>
      </c>
      <c r="C21" s="231"/>
      <c r="D21" s="268">
        <f>+D19+D20</f>
        <v>0</v>
      </c>
      <c r="E21" s="268">
        <f>+E19+E20</f>
        <v>0</v>
      </c>
      <c r="F21" s="268">
        <f t="shared" ref="F21:N21" si="7">+F19+F20</f>
        <v>0</v>
      </c>
      <c r="G21" s="268">
        <f t="shared" si="7"/>
        <v>0</v>
      </c>
      <c r="H21" s="268">
        <f t="shared" si="7"/>
        <v>87373.89</v>
      </c>
      <c r="I21" s="268">
        <f t="shared" si="7"/>
        <v>102170.79</v>
      </c>
      <c r="J21" s="268">
        <f t="shared" si="7"/>
        <v>112636.89</v>
      </c>
      <c r="K21" s="268">
        <f t="shared" si="7"/>
        <v>133571.86893</v>
      </c>
      <c r="L21" s="268">
        <f t="shared" si="7"/>
        <v>149812.36893</v>
      </c>
      <c r="M21" s="268">
        <f t="shared" si="7"/>
        <v>169661.86893</v>
      </c>
      <c r="N21" s="269">
        <f t="shared" si="7"/>
        <v>185902.36893</v>
      </c>
      <c r="O21" s="270">
        <f>+O19+O20</f>
        <v>211887.16893000001</v>
      </c>
      <c r="Y21" s="158" t="s">
        <v>211</v>
      </c>
      <c r="Z21" s="158"/>
      <c r="AF21" t="s">
        <v>245</v>
      </c>
      <c r="AH21" s="29"/>
      <c r="AI21" s="29">
        <v>0</v>
      </c>
      <c r="AJ21" s="29"/>
      <c r="AL21" t="s">
        <v>246</v>
      </c>
      <c r="AM21" s="98">
        <f>AO14</f>
        <v>687045.75975000008</v>
      </c>
      <c r="AZ21" t="s">
        <v>245</v>
      </c>
      <c r="BB21" s="29"/>
      <c r="BC21" s="29">
        <v>0</v>
      </c>
      <c r="BD21" s="29">
        <f>BD17-BD19</f>
        <v>1279889.652809775</v>
      </c>
    </row>
    <row r="22" spans="2:56" x14ac:dyDescent="0.25">
      <c r="B22" s="271"/>
      <c r="C22" s="272"/>
      <c r="D22" s="273"/>
      <c r="E22" s="232"/>
      <c r="F22" s="232"/>
      <c r="G22" s="232"/>
      <c r="H22" s="232"/>
      <c r="I22" s="274"/>
      <c r="J22" s="232"/>
      <c r="K22" s="232"/>
      <c r="L22" s="232"/>
      <c r="M22" s="232"/>
      <c r="N22" s="233"/>
      <c r="O22" s="232"/>
      <c r="Y22" t="s">
        <v>247</v>
      </c>
      <c r="Z22" s="29">
        <v>675000</v>
      </c>
      <c r="AH22" s="29"/>
      <c r="AI22" s="29"/>
      <c r="AJ22" s="29"/>
      <c r="AL22">
        <v>2017</v>
      </c>
      <c r="AM22" s="275">
        <f>AM20-AM21</f>
        <v>-207045.75975000008</v>
      </c>
      <c r="BB22" s="29"/>
      <c r="BC22" s="29"/>
      <c r="BD22" s="29"/>
    </row>
    <row r="23" spans="2:56" x14ac:dyDescent="0.25">
      <c r="B23" t="s">
        <v>248</v>
      </c>
      <c r="C23" s="20"/>
      <c r="D23" s="20"/>
      <c r="E23" s="20"/>
      <c r="F23" s="20"/>
      <c r="G23" s="20"/>
      <c r="H23" s="20"/>
      <c r="I23" s="20"/>
      <c r="J23" s="20" t="s">
        <v>111</v>
      </c>
      <c r="K23" s="20"/>
      <c r="L23" s="20"/>
      <c r="M23" s="20"/>
      <c r="N23" s="276"/>
      <c r="O23" s="20" t="s">
        <v>111</v>
      </c>
      <c r="Y23" t="s">
        <v>249</v>
      </c>
      <c r="Z23">
        <v>1.0146999999999999</v>
      </c>
      <c r="AA23" t="s">
        <v>250</v>
      </c>
      <c r="AF23" t="s">
        <v>251</v>
      </c>
      <c r="AS23" t="s">
        <v>203</v>
      </c>
      <c r="AU23" s="98">
        <f>AO16</f>
        <v>207045.75975000008</v>
      </c>
      <c r="AZ23" t="s">
        <v>251</v>
      </c>
      <c r="BD23" s="126" t="s">
        <v>252</v>
      </c>
    </row>
    <row r="24" spans="2:56" ht="21" x14ac:dyDescent="0.35">
      <c r="B24" t="s">
        <v>253</v>
      </c>
      <c r="C24" s="20"/>
      <c r="D24" s="277"/>
      <c r="E24" s="278"/>
      <c r="F24" s="20"/>
      <c r="G24" s="20"/>
      <c r="H24" s="20"/>
      <c r="I24" s="20"/>
      <c r="J24" s="20"/>
      <c r="K24" s="20"/>
      <c r="L24" s="20" t="s">
        <v>111</v>
      </c>
      <c r="M24" s="20"/>
      <c r="N24" s="276"/>
      <c r="O24" s="20" t="s">
        <v>111</v>
      </c>
      <c r="Y24" s="44" t="s">
        <v>254</v>
      </c>
      <c r="Z24" s="279">
        <f>Z22*Z23</f>
        <v>684922.5</v>
      </c>
      <c r="AA24" t="s">
        <v>255</v>
      </c>
      <c r="AS24" t="s">
        <v>249</v>
      </c>
      <c r="AU24">
        <f>AV19</f>
        <v>1.0630999999999999</v>
      </c>
    </row>
    <row r="25" spans="2:56" x14ac:dyDescent="0.25">
      <c r="B25" t="s">
        <v>256</v>
      </c>
      <c r="C25" s="20"/>
      <c r="D25" s="277"/>
      <c r="E25" s="278"/>
      <c r="F25" s="20"/>
      <c r="G25" s="20"/>
      <c r="H25" s="20"/>
      <c r="I25" s="20"/>
      <c r="J25" s="20"/>
      <c r="K25" s="20" t="s">
        <v>111</v>
      </c>
      <c r="L25" s="20"/>
      <c r="M25" s="20"/>
      <c r="N25" s="276"/>
      <c r="O25" s="20" t="s">
        <v>111</v>
      </c>
      <c r="Y25" s="44"/>
      <c r="Z25" s="280"/>
      <c r="AA25" t="s">
        <v>257</v>
      </c>
    </row>
    <row r="26" spans="2:56" x14ac:dyDescent="0.25">
      <c r="C26" s="20"/>
      <c r="D26" s="277"/>
      <c r="E26" s="20"/>
      <c r="F26" s="20"/>
      <c r="G26" s="20"/>
      <c r="H26" s="20"/>
      <c r="I26" s="20"/>
      <c r="J26" s="20"/>
      <c r="K26" s="20"/>
      <c r="L26" s="20"/>
      <c r="M26" s="20"/>
      <c r="N26" s="281"/>
      <c r="O26" s="20"/>
      <c r="AF26" t="s">
        <v>258</v>
      </c>
      <c r="AS26" t="s">
        <v>254</v>
      </c>
      <c r="AU26" s="98">
        <f>AU23*AU24</f>
        <v>220110.34719022509</v>
      </c>
      <c r="AZ26" t="s">
        <v>258</v>
      </c>
      <c r="BD26" s="98">
        <v>150000</v>
      </c>
    </row>
    <row r="27" spans="2:56" x14ac:dyDescent="0.25">
      <c r="C27" s="282" t="s">
        <v>259</v>
      </c>
      <c r="D27" s="282"/>
      <c r="E27" s="282"/>
      <c r="F27" s="282"/>
      <c r="G27" s="282"/>
      <c r="H27" s="282"/>
      <c r="I27" s="282"/>
      <c r="J27" s="282"/>
      <c r="K27" s="282"/>
      <c r="L27" s="282"/>
      <c r="M27" s="282"/>
      <c r="N27" s="282"/>
      <c r="Y27" s="283" t="s">
        <v>260</v>
      </c>
      <c r="Z27" s="283"/>
      <c r="AA27" s="283"/>
      <c r="AB27" s="283"/>
      <c r="AC27" s="283"/>
      <c r="AD27" s="283"/>
    </row>
    <row r="28" spans="2:56" x14ac:dyDescent="0.25">
      <c r="C28" s="282"/>
      <c r="D28" s="282"/>
      <c r="E28" s="282"/>
      <c r="F28" s="282"/>
      <c r="G28" s="282"/>
      <c r="H28" s="282"/>
      <c r="I28" s="282"/>
      <c r="J28" s="282"/>
      <c r="K28" s="282"/>
      <c r="L28" s="282"/>
      <c r="M28" s="282"/>
      <c r="N28" s="282"/>
      <c r="Y28" s="283"/>
      <c r="Z28" s="283"/>
      <c r="AA28" s="283"/>
      <c r="AB28" s="283"/>
      <c r="AC28" s="283"/>
      <c r="AD28" s="283"/>
      <c r="AF28" t="s">
        <v>261</v>
      </c>
      <c r="AZ28" t="s">
        <v>262</v>
      </c>
      <c r="BD28" s="29">
        <v>225270.76</v>
      </c>
    </row>
    <row r="29" spans="2:56" ht="28.5" customHeight="1" x14ac:dyDescent="0.25">
      <c r="C29" s="282"/>
      <c r="D29" s="282"/>
      <c r="E29" s="282"/>
      <c r="F29" s="282"/>
      <c r="G29" s="282"/>
      <c r="H29" s="282"/>
      <c r="I29" s="282"/>
      <c r="J29" s="282"/>
      <c r="K29" s="282"/>
      <c r="L29" s="282"/>
      <c r="M29" s="282"/>
      <c r="N29" s="282"/>
      <c r="Y29" t="s">
        <v>216</v>
      </c>
      <c r="Z29" t="s">
        <v>263</v>
      </c>
      <c r="AF29" t="s">
        <v>264</v>
      </c>
      <c r="AZ29" t="s">
        <v>264</v>
      </c>
      <c r="BD29" s="98">
        <f>BD26-BD28</f>
        <v>-75270.760000000009</v>
      </c>
    </row>
    <row r="30" spans="2:56" ht="28.5" customHeight="1" x14ac:dyDescent="0.25">
      <c r="C30" s="282"/>
      <c r="D30" s="282"/>
      <c r="E30" s="282"/>
      <c r="F30" s="282"/>
      <c r="G30" s="282"/>
      <c r="H30" s="282"/>
      <c r="I30" s="282"/>
      <c r="J30" s="282"/>
      <c r="K30" s="282"/>
      <c r="L30" s="282"/>
      <c r="M30" s="282"/>
      <c r="N30" s="282"/>
      <c r="Z30" s="253" t="s">
        <v>265</v>
      </c>
      <c r="AA30" s="253"/>
      <c r="AB30" s="253"/>
      <c r="AC30" s="253"/>
    </row>
    <row r="31" spans="2:56" ht="10.5" customHeight="1" x14ac:dyDescent="0.45">
      <c r="D31" s="20"/>
      <c r="E31" s="284"/>
      <c r="F31" s="20"/>
      <c r="G31" s="20"/>
      <c r="H31" s="20"/>
      <c r="I31" s="20"/>
    </row>
    <row r="32" spans="2:56" ht="15" customHeight="1" x14ac:dyDescent="0.25">
      <c r="C32" s="282" t="s">
        <v>266</v>
      </c>
      <c r="D32" s="282"/>
      <c r="E32" s="282"/>
      <c r="F32" s="282"/>
      <c r="G32" s="282"/>
      <c r="H32" s="282"/>
      <c r="I32" s="282"/>
      <c r="J32" s="282"/>
      <c r="K32" s="282"/>
      <c r="L32" s="282"/>
      <c r="M32" s="282"/>
      <c r="N32" s="282"/>
      <c r="Y32" t="s">
        <v>216</v>
      </c>
      <c r="Z32" s="285" t="s">
        <v>267</v>
      </c>
      <c r="AA32" s="285"/>
    </row>
    <row r="33" spans="3:35" ht="15" customHeight="1" x14ac:dyDescent="0.25">
      <c r="C33" s="282"/>
      <c r="D33" s="282"/>
      <c r="E33" s="282"/>
      <c r="F33" s="282"/>
      <c r="G33" s="282"/>
      <c r="H33" s="282"/>
      <c r="I33" s="282"/>
      <c r="J33" s="282"/>
      <c r="K33" s="282"/>
      <c r="L33" s="282"/>
      <c r="M33" s="282"/>
      <c r="N33" s="282"/>
      <c r="Z33" s="286" t="s">
        <v>268</v>
      </c>
      <c r="AA33" s="286"/>
    </row>
    <row r="34" spans="3:35" ht="15" customHeight="1" x14ac:dyDescent="0.25">
      <c r="C34" s="282"/>
      <c r="D34" s="282"/>
      <c r="E34" s="282"/>
      <c r="F34" s="282"/>
      <c r="G34" s="282"/>
      <c r="H34" s="282"/>
      <c r="I34" s="282"/>
      <c r="J34" s="282"/>
      <c r="K34" s="282"/>
      <c r="L34" s="282"/>
      <c r="M34" s="282"/>
      <c r="N34" s="282"/>
    </row>
    <row r="35" spans="3:35" x14ac:dyDescent="0.25">
      <c r="C35" s="282"/>
      <c r="D35" s="282"/>
      <c r="E35" s="282"/>
      <c r="F35" s="282"/>
      <c r="G35" s="282"/>
      <c r="H35" s="282"/>
      <c r="I35" s="282"/>
      <c r="J35" s="282"/>
      <c r="K35" s="282"/>
      <c r="L35" s="282"/>
      <c r="M35" s="282"/>
      <c r="N35" s="282"/>
      <c r="Y35" t="s">
        <v>112</v>
      </c>
      <c r="Z35">
        <v>89.323999999999998</v>
      </c>
      <c r="AA35" s="41" t="s">
        <v>239</v>
      </c>
      <c r="AB35" s="287">
        <v>1.0031000000000001</v>
      </c>
    </row>
    <row r="36" spans="3:35" x14ac:dyDescent="0.25">
      <c r="E36" s="288"/>
      <c r="Z36" s="253">
        <v>89.046999999999997</v>
      </c>
      <c r="AA36" s="41"/>
      <c r="AB36" s="287"/>
    </row>
    <row r="37" spans="3:35" ht="15" customHeight="1" x14ac:dyDescent="0.25">
      <c r="C37" s="289" t="s">
        <v>269</v>
      </c>
      <c r="D37" s="289"/>
      <c r="E37" s="289"/>
      <c r="F37" s="289"/>
      <c r="G37" s="289"/>
      <c r="H37" s="289"/>
      <c r="I37" s="289"/>
      <c r="J37" s="289"/>
      <c r="K37" s="289"/>
      <c r="L37" s="289"/>
      <c r="M37" s="289"/>
      <c r="N37" s="289"/>
    </row>
    <row r="38" spans="3:35" ht="15" customHeight="1" x14ac:dyDescent="0.25">
      <c r="C38" s="289"/>
      <c r="D38" s="289"/>
      <c r="E38" s="289"/>
      <c r="F38" s="289"/>
      <c r="G38" s="289"/>
      <c r="H38" s="289"/>
      <c r="I38" s="289"/>
      <c r="J38" s="289"/>
      <c r="K38" s="289"/>
      <c r="L38" s="289"/>
      <c r="M38" s="289"/>
      <c r="N38" s="289"/>
      <c r="Y38" s="44" t="s">
        <v>270</v>
      </c>
      <c r="Z38" s="290">
        <f>Z24</f>
        <v>684922.5</v>
      </c>
      <c r="AG38" t="s">
        <v>271</v>
      </c>
      <c r="AH38">
        <v>2021</v>
      </c>
      <c r="AI38">
        <v>2022</v>
      </c>
    </row>
    <row r="39" spans="3:35" ht="15" customHeight="1" x14ac:dyDescent="0.25">
      <c r="C39" s="289"/>
      <c r="D39" s="289"/>
      <c r="E39" s="289"/>
      <c r="F39" s="289"/>
      <c r="G39" s="289"/>
      <c r="H39" s="289"/>
      <c r="I39" s="289"/>
      <c r="J39" s="289"/>
      <c r="K39" s="289"/>
      <c r="L39" s="289"/>
      <c r="M39" s="289"/>
      <c r="N39" s="289"/>
      <c r="Y39" t="s">
        <v>249</v>
      </c>
      <c r="Z39" s="204">
        <f>AB35</f>
        <v>1.0031000000000001</v>
      </c>
      <c r="AG39" s="127">
        <v>-500000</v>
      </c>
    </row>
    <row r="40" spans="3:35" ht="15" customHeight="1" x14ac:dyDescent="0.25">
      <c r="C40" s="289"/>
      <c r="D40" s="289"/>
      <c r="E40" s="289"/>
      <c r="F40" s="289"/>
      <c r="G40" s="289"/>
      <c r="H40" s="289"/>
      <c r="I40" s="289"/>
      <c r="J40" s="289"/>
      <c r="K40" s="289"/>
      <c r="L40" s="289"/>
      <c r="M40" s="289"/>
      <c r="N40" s="289"/>
      <c r="Y40" s="44" t="s">
        <v>254</v>
      </c>
      <c r="Z40" s="290">
        <f>Z38*Z39</f>
        <v>687045.75975000008</v>
      </c>
      <c r="AA40" t="s">
        <v>272</v>
      </c>
      <c r="AG40" s="127">
        <v>300000</v>
      </c>
      <c r="AH40" s="127">
        <v>300000</v>
      </c>
      <c r="AI40" s="127">
        <v>500000</v>
      </c>
    </row>
    <row r="41" spans="3:35" x14ac:dyDescent="0.25">
      <c r="C41" s="289"/>
      <c r="D41" s="289"/>
      <c r="E41" s="289"/>
      <c r="F41" s="289"/>
      <c r="G41" s="289"/>
      <c r="H41" s="289"/>
      <c r="I41" s="289"/>
      <c r="J41" s="289"/>
      <c r="K41" s="289"/>
      <c r="L41" s="289"/>
      <c r="M41" s="289"/>
      <c r="N41" s="289"/>
      <c r="AG41" s="127">
        <v>200000</v>
      </c>
      <c r="AH41" s="127"/>
      <c r="AI41" s="127">
        <v>-200000</v>
      </c>
    </row>
    <row r="42" spans="3:35" x14ac:dyDescent="0.25">
      <c r="C42" s="289"/>
      <c r="D42" s="289"/>
      <c r="E42" s="289"/>
      <c r="F42" s="289"/>
      <c r="G42" s="289"/>
      <c r="H42" s="289"/>
      <c r="I42" s="289"/>
      <c r="J42" s="289"/>
      <c r="K42" s="289"/>
      <c r="L42" s="289"/>
      <c r="M42" s="289"/>
      <c r="N42" s="289"/>
      <c r="Y42">
        <v>2020</v>
      </c>
      <c r="Z42" t="s">
        <v>273</v>
      </c>
      <c r="AA42" t="s">
        <v>274</v>
      </c>
      <c r="AI42" s="127">
        <v>300000</v>
      </c>
    </row>
    <row r="43" spans="3:35" x14ac:dyDescent="0.25">
      <c r="Y43" s="29">
        <v>675000</v>
      </c>
      <c r="Z43" s="98">
        <f>Z38</f>
        <v>684922.5</v>
      </c>
      <c r="AA43" s="98">
        <f>Z40</f>
        <v>687045.75975000008</v>
      </c>
      <c r="AB43" t="s">
        <v>275</v>
      </c>
    </row>
    <row r="44" spans="3:35" x14ac:dyDescent="0.25">
      <c r="C44" s="282" t="s">
        <v>276</v>
      </c>
      <c r="D44" s="282"/>
      <c r="E44" s="282"/>
      <c r="F44" s="282"/>
      <c r="G44" s="282"/>
      <c r="H44" s="282"/>
      <c r="I44" s="282"/>
      <c r="J44" s="282"/>
      <c r="K44" s="282"/>
      <c r="L44" s="282"/>
      <c r="M44" s="282"/>
      <c r="N44" s="282"/>
      <c r="AA44">
        <v>2021</v>
      </c>
    </row>
    <row r="45" spans="3:35" x14ac:dyDescent="0.25">
      <c r="C45" s="282"/>
      <c r="D45" s="282"/>
      <c r="E45" s="282"/>
      <c r="F45" s="282"/>
      <c r="G45" s="282"/>
      <c r="H45" s="282"/>
      <c r="I45" s="282"/>
      <c r="J45" s="282"/>
      <c r="K45" s="282"/>
      <c r="L45" s="282"/>
      <c r="M45" s="282"/>
      <c r="N45" s="282"/>
    </row>
    <row r="46" spans="3:35" x14ac:dyDescent="0.25">
      <c r="C46" s="282"/>
      <c r="D46" s="282"/>
      <c r="E46" s="282"/>
      <c r="F46" s="282"/>
      <c r="G46" s="282"/>
      <c r="H46" s="282"/>
      <c r="I46" s="282"/>
      <c r="J46" s="282"/>
      <c r="K46" s="282"/>
      <c r="L46" s="282"/>
      <c r="M46" s="282"/>
      <c r="N46" s="282"/>
      <c r="Y46">
        <v>2020</v>
      </c>
      <c r="Z46">
        <v>2021</v>
      </c>
      <c r="AA46">
        <v>2022</v>
      </c>
    </row>
    <row r="47" spans="3:35" x14ac:dyDescent="0.25">
      <c r="Y47" s="29">
        <v>687045.76</v>
      </c>
      <c r="Z47" s="127">
        <v>300000</v>
      </c>
      <c r="AA47" s="127">
        <v>500000</v>
      </c>
    </row>
    <row r="48" spans="3:35" x14ac:dyDescent="0.25">
      <c r="Y48" s="98">
        <f>Y47-Z47</f>
        <v>387045.76</v>
      </c>
    </row>
  </sheetData>
  <mergeCells count="59">
    <mergeCell ref="C37:N42"/>
    <mergeCell ref="C44:N46"/>
    <mergeCell ref="B21:C21"/>
    <mergeCell ref="Y21:Z21"/>
    <mergeCell ref="B22:C22"/>
    <mergeCell ref="C27:N30"/>
    <mergeCell ref="Y27:AD28"/>
    <mergeCell ref="C32:N35"/>
    <mergeCell ref="Z32:AA32"/>
    <mergeCell ref="Z33:AA33"/>
    <mergeCell ref="AA35:AA36"/>
    <mergeCell ref="AB35:AB36"/>
    <mergeCell ref="O15:O16"/>
    <mergeCell ref="B17:C17"/>
    <mergeCell ref="B18:C18"/>
    <mergeCell ref="AC18:AC19"/>
    <mergeCell ref="B19:C19"/>
    <mergeCell ref="AU19:AU20"/>
    <mergeCell ref="B20:C20"/>
    <mergeCell ref="I15:I16"/>
    <mergeCell ref="J15:J16"/>
    <mergeCell ref="K15:K16"/>
    <mergeCell ref="L15:L16"/>
    <mergeCell ref="M15:M16"/>
    <mergeCell ref="N15:N16"/>
    <mergeCell ref="B15:C16"/>
    <mergeCell ref="D15:D16"/>
    <mergeCell ref="E15:E16"/>
    <mergeCell ref="F15:F16"/>
    <mergeCell ref="G15:G16"/>
    <mergeCell ref="H15:H16"/>
    <mergeCell ref="AF12:AJ12"/>
    <mergeCell ref="AL12:AO12"/>
    <mergeCell ref="AS12:AX12"/>
    <mergeCell ref="AZ12:BD12"/>
    <mergeCell ref="B13:C13"/>
    <mergeCell ref="B14:C14"/>
    <mergeCell ref="B8:C8"/>
    <mergeCell ref="B9:C9"/>
    <mergeCell ref="B10:C10"/>
    <mergeCell ref="B11:C11"/>
    <mergeCell ref="B12:C12"/>
    <mergeCell ref="Y12:AD13"/>
    <mergeCell ref="J6:J7"/>
    <mergeCell ref="K6:K7"/>
    <mergeCell ref="L6:L7"/>
    <mergeCell ref="M6:M7"/>
    <mergeCell ref="N6:N7"/>
    <mergeCell ref="O6:O7"/>
    <mergeCell ref="B1:O1"/>
    <mergeCell ref="B2:O2"/>
    <mergeCell ref="B3:O3"/>
    <mergeCell ref="B6:C7"/>
    <mergeCell ref="D6:D7"/>
    <mergeCell ref="E6:E7"/>
    <mergeCell ref="F6:F7"/>
    <mergeCell ref="G6:G7"/>
    <mergeCell ref="H6:H7"/>
    <mergeCell ref="I6:I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workbookViewId="0">
      <selection activeCell="G8" sqref="G8"/>
    </sheetView>
  </sheetViews>
  <sheetFormatPr baseColWidth="10" defaultColWidth="11.42578125" defaultRowHeight="12.75" x14ac:dyDescent="0.2"/>
  <cols>
    <col min="1" max="16384" width="11.42578125" style="357"/>
  </cols>
  <sheetData>
    <row r="1" spans="1:14" ht="13.5" thickBot="1" x14ac:dyDescent="0.25">
      <c r="B1" s="358" t="s">
        <v>21</v>
      </c>
      <c r="C1" s="359" t="s">
        <v>22</v>
      </c>
      <c r="D1" s="359" t="s">
        <v>23</v>
      </c>
      <c r="E1" s="359" t="s">
        <v>24</v>
      </c>
      <c r="F1" s="359" t="s">
        <v>25</v>
      </c>
      <c r="G1" s="359" t="s">
        <v>26</v>
      </c>
      <c r="H1" s="359" t="s">
        <v>27</v>
      </c>
      <c r="I1" s="359" t="s">
        <v>28</v>
      </c>
      <c r="J1" s="359" t="s">
        <v>29</v>
      </c>
      <c r="K1" s="359" t="s">
        <v>30</v>
      </c>
      <c r="L1" s="359" t="s">
        <v>31</v>
      </c>
      <c r="M1" s="359" t="s">
        <v>32</v>
      </c>
      <c r="N1" s="360"/>
    </row>
    <row r="2" spans="1:14" ht="13.5" thickBot="1" x14ac:dyDescent="0.25">
      <c r="A2" s="361">
        <v>2022</v>
      </c>
      <c r="B2" s="356" t="s">
        <v>303</v>
      </c>
      <c r="C2" s="356" t="s">
        <v>304</v>
      </c>
      <c r="D2" s="367">
        <v>120.15900000000001</v>
      </c>
      <c r="E2" s="367">
        <v>120.809</v>
      </c>
      <c r="F2" s="367">
        <v>121.02200000000001</v>
      </c>
      <c r="G2" s="367">
        <v>122.044</v>
      </c>
      <c r="H2" s="367">
        <v>122.94799999999999</v>
      </c>
      <c r="I2" s="367">
        <v>123.803</v>
      </c>
      <c r="J2" s="368">
        <v>124.571</v>
      </c>
      <c r="K2" s="368">
        <v>125.276</v>
      </c>
      <c r="L2" s="368">
        <v>125.997</v>
      </c>
      <c r="M2" s="368"/>
      <c r="N2" s="362"/>
    </row>
    <row r="3" spans="1:14" ht="13.5" thickBot="1" x14ac:dyDescent="0.25">
      <c r="A3" s="361">
        <v>2021</v>
      </c>
      <c r="B3" s="364">
        <v>110.21</v>
      </c>
      <c r="C3" s="364">
        <v>110.907</v>
      </c>
      <c r="D3" s="364">
        <v>111.824</v>
      </c>
      <c r="E3" s="364">
        <v>112.19</v>
      </c>
      <c r="F3" s="364">
        <v>112.419</v>
      </c>
      <c r="G3" s="364">
        <v>113.018</v>
      </c>
      <c r="H3" s="364">
        <v>113.682</v>
      </c>
      <c r="I3" s="369">
        <v>113.899</v>
      </c>
      <c r="J3" s="365">
        <v>114.601</v>
      </c>
      <c r="K3" s="370">
        <v>115.56100000000001</v>
      </c>
      <c r="L3" s="366" t="s">
        <v>305</v>
      </c>
      <c r="M3" s="366" t="s">
        <v>306</v>
      </c>
    </row>
    <row r="4" spans="1:14" ht="13.5" thickBot="1" x14ac:dyDescent="0.25">
      <c r="A4" s="361">
        <v>2020</v>
      </c>
      <c r="B4" s="363">
        <v>106.447</v>
      </c>
      <c r="C4" s="363">
        <v>106.889</v>
      </c>
      <c r="D4" s="363">
        <v>106.83799999999999</v>
      </c>
      <c r="E4" s="363">
        <v>105.755</v>
      </c>
      <c r="F4" s="363">
        <v>106.16200000000001</v>
      </c>
      <c r="G4" s="363">
        <v>106.74299999999999</v>
      </c>
      <c r="H4" s="363">
        <v>107.444</v>
      </c>
      <c r="I4" s="363">
        <v>107.867</v>
      </c>
      <c r="J4" s="363">
        <v>108.114</v>
      </c>
      <c r="K4" s="363">
        <v>108.774</v>
      </c>
      <c r="L4" s="363">
        <v>108.85599999999999</v>
      </c>
      <c r="M4" s="363">
        <v>109.271</v>
      </c>
    </row>
    <row r="5" spans="1:14" ht="13.5" thickBot="1" x14ac:dyDescent="0.25">
      <c r="A5" s="361">
        <v>2019</v>
      </c>
      <c r="B5" s="364">
        <v>103.108</v>
      </c>
      <c r="C5" s="364">
        <v>103.07899999999999</v>
      </c>
      <c r="D5" s="364">
        <v>103.476</v>
      </c>
      <c r="E5" s="364">
        <v>103.53100000000001</v>
      </c>
      <c r="F5" s="364">
        <v>103.233</v>
      </c>
      <c r="G5" s="364">
        <v>103.29900000000001</v>
      </c>
      <c r="H5" s="364">
        <v>103.687</v>
      </c>
      <c r="I5" s="364">
        <v>103.67</v>
      </c>
      <c r="J5" s="364">
        <v>103.94199999999999</v>
      </c>
      <c r="K5" s="364">
        <v>104.503</v>
      </c>
      <c r="L5" s="364">
        <v>105.346</v>
      </c>
      <c r="M5" s="364">
        <v>105.934</v>
      </c>
    </row>
    <row r="6" spans="1:14" ht="13.5" thickBot="1" x14ac:dyDescent="0.25">
      <c r="A6" s="361">
        <v>2018</v>
      </c>
      <c r="B6" s="363">
        <v>98.794999699501005</v>
      </c>
      <c r="C6" s="363">
        <v>99.171374481640001</v>
      </c>
      <c r="D6" s="363">
        <v>99.492156980588007</v>
      </c>
      <c r="E6" s="363">
        <v>99.154847046097004</v>
      </c>
      <c r="F6" s="363">
        <v>98.994080173086999</v>
      </c>
      <c r="G6" s="363">
        <v>99.376464931786998</v>
      </c>
      <c r="H6" s="363">
        <v>99.909099104513999</v>
      </c>
      <c r="I6" s="363">
        <v>100.492</v>
      </c>
      <c r="J6" s="363">
        <v>100.917</v>
      </c>
      <c r="K6" s="363">
        <v>101.44</v>
      </c>
      <c r="L6" s="363">
        <v>102.303</v>
      </c>
      <c r="M6" s="363">
        <v>103.02</v>
      </c>
    </row>
    <row r="7" spans="1:14" ht="13.5" thickBot="1" x14ac:dyDescent="0.25">
      <c r="A7" s="361">
        <v>2017</v>
      </c>
      <c r="B7" s="364">
        <v>93.603882444858996</v>
      </c>
      <c r="C7" s="364">
        <v>94.144780335356998</v>
      </c>
      <c r="D7" s="364">
        <v>94.722489332292</v>
      </c>
      <c r="E7" s="364">
        <v>94.838932628162993</v>
      </c>
      <c r="F7" s="364">
        <v>94.725494320571997</v>
      </c>
      <c r="G7" s="364">
        <v>94.963639641805003</v>
      </c>
      <c r="H7" s="364">
        <v>95.322735741331002</v>
      </c>
      <c r="I7" s="364">
        <v>95.793767654305995</v>
      </c>
      <c r="J7" s="364">
        <v>96.093515235290994</v>
      </c>
      <c r="K7" s="364">
        <v>96.698269126750006</v>
      </c>
      <c r="L7" s="364">
        <v>97.695173988822006</v>
      </c>
      <c r="M7" s="364">
        <v>98.272882985755999</v>
      </c>
    </row>
    <row r="8" spans="1:14" ht="13.5" thickBot="1" x14ac:dyDescent="0.25">
      <c r="A8" s="361">
        <v>2016</v>
      </c>
      <c r="B8" s="363">
        <v>89.386381393112998</v>
      </c>
      <c r="C8" s="363">
        <v>89.777781116653998</v>
      </c>
      <c r="D8" s="363">
        <v>89.910000600998004</v>
      </c>
      <c r="E8" s="363">
        <v>89.625277961416003</v>
      </c>
      <c r="F8" s="363">
        <v>89.225614520102994</v>
      </c>
      <c r="G8" s="363">
        <v>89.324027886291006</v>
      </c>
      <c r="H8" s="363">
        <v>89.556914478034003</v>
      </c>
      <c r="I8" s="363">
        <v>89.809333493598999</v>
      </c>
      <c r="J8" s="363">
        <v>90.357743854798997</v>
      </c>
      <c r="K8" s="363">
        <v>90.906154215998995</v>
      </c>
      <c r="L8" s="363">
        <v>91.616833944348002</v>
      </c>
      <c r="M8" s="363">
        <v>92.039034797764003</v>
      </c>
    </row>
    <row r="9" spans="1:14" ht="13.5" thickBot="1" x14ac:dyDescent="0.25">
      <c r="A9" s="361">
        <v>2015</v>
      </c>
      <c r="B9" s="364">
        <v>87.110102770598999</v>
      </c>
      <c r="C9" s="364">
        <v>87.275377126028999</v>
      </c>
      <c r="D9" s="364">
        <v>87.630716990203993</v>
      </c>
      <c r="E9" s="364">
        <v>87.403840375022995</v>
      </c>
      <c r="F9" s="364">
        <v>86.967365827272999</v>
      </c>
      <c r="G9" s="364">
        <v>87.113107758880005</v>
      </c>
      <c r="H9" s="364">
        <v>87.240819760803006</v>
      </c>
      <c r="I9" s="364">
        <v>87.424875292986002</v>
      </c>
      <c r="J9" s="364">
        <v>87.752419015566005</v>
      </c>
      <c r="K9" s="364">
        <v>88.203918504718004</v>
      </c>
      <c r="L9" s="364">
        <v>88.685467876675006</v>
      </c>
      <c r="M9" s="364">
        <v>89.046817717411002</v>
      </c>
    </row>
    <row r="10" spans="1:14" ht="13.5" thickBot="1" x14ac:dyDescent="0.25">
      <c r="A10" s="361">
        <v>2014</v>
      </c>
      <c r="B10" s="363">
        <v>84.519051625699007</v>
      </c>
      <c r="C10" s="363">
        <v>84.733157040687999</v>
      </c>
      <c r="D10" s="363">
        <v>84.965292385360002</v>
      </c>
      <c r="E10" s="363">
        <v>84.806779253561004</v>
      </c>
      <c r="F10" s="363">
        <v>84.535579061242004</v>
      </c>
      <c r="G10" s="363">
        <v>84.682072239918</v>
      </c>
      <c r="H10" s="363">
        <v>84.914958831660996</v>
      </c>
      <c r="I10" s="363">
        <v>85.219965142136004</v>
      </c>
      <c r="J10" s="363">
        <v>85.596339924274005</v>
      </c>
      <c r="K10" s="363">
        <v>86.069625578460005</v>
      </c>
      <c r="L10" s="363">
        <v>86.763777871266001</v>
      </c>
      <c r="M10" s="363">
        <v>87.188983712964003</v>
      </c>
    </row>
    <row r="11" spans="1:14" ht="13.5" thickBot="1" x14ac:dyDescent="0.25">
      <c r="A11" s="361">
        <v>2013</v>
      </c>
      <c r="B11" s="364">
        <v>80.892782018150001</v>
      </c>
      <c r="C11" s="364">
        <v>81.290942965322003</v>
      </c>
      <c r="D11" s="364">
        <v>81.887433139010994</v>
      </c>
      <c r="E11" s="364">
        <v>81.941522928061005</v>
      </c>
      <c r="F11" s="364">
        <v>81.668820241600997</v>
      </c>
      <c r="G11" s="364">
        <v>81.619237934972006</v>
      </c>
      <c r="H11" s="364">
        <v>81.592193040447</v>
      </c>
      <c r="I11" s="364">
        <v>81.824328385119003</v>
      </c>
      <c r="J11" s="364">
        <v>82.132339683875003</v>
      </c>
      <c r="K11" s="364">
        <v>82.522988160346003</v>
      </c>
      <c r="L11" s="364">
        <v>83.292265160165996</v>
      </c>
      <c r="M11" s="364">
        <v>83.770058296773001</v>
      </c>
    </row>
    <row r="12" spans="1:14" ht="13.5" thickBot="1" x14ac:dyDescent="0.25">
      <c r="A12" s="361">
        <v>2012</v>
      </c>
      <c r="B12" s="363">
        <v>78.343049462107004</v>
      </c>
      <c r="C12" s="363">
        <v>78.502313840976001</v>
      </c>
      <c r="D12" s="363">
        <v>78.547388665184002</v>
      </c>
      <c r="E12" s="363">
        <v>78.300979626179995</v>
      </c>
      <c r="F12" s="363">
        <v>78.053819340104994</v>
      </c>
      <c r="G12" s="363">
        <v>78.413666686699997</v>
      </c>
      <c r="H12" s="363">
        <v>78.853897469800003</v>
      </c>
      <c r="I12" s="363">
        <v>79.090540296892996</v>
      </c>
      <c r="J12" s="363">
        <v>79.439118937436007</v>
      </c>
      <c r="K12" s="363">
        <v>79.841036119959</v>
      </c>
      <c r="L12" s="363">
        <v>80.383436504597995</v>
      </c>
      <c r="M12" s="363">
        <v>80.568243283851004</v>
      </c>
    </row>
    <row r="13" spans="1:14" ht="13.5" thickBot="1" x14ac:dyDescent="0.25">
      <c r="A13" s="361">
        <v>2011</v>
      </c>
      <c r="B13" s="364">
        <v>75.295991345633993</v>
      </c>
      <c r="C13" s="364">
        <v>75.578460244005001</v>
      </c>
      <c r="D13" s="364">
        <v>75.723450928540998</v>
      </c>
      <c r="E13" s="364">
        <v>75.717440951979995</v>
      </c>
      <c r="F13" s="364">
        <v>75.159264378868997</v>
      </c>
      <c r="G13" s="364">
        <v>75.155508143518006</v>
      </c>
      <c r="H13" s="364">
        <v>75.516106737184003</v>
      </c>
      <c r="I13" s="364">
        <v>75.635555021334994</v>
      </c>
      <c r="J13" s="364">
        <v>75.821113047658997</v>
      </c>
      <c r="K13" s="364">
        <v>76.332712302421996</v>
      </c>
      <c r="L13" s="364">
        <v>77.158332832501998</v>
      </c>
      <c r="M13" s="364">
        <v>77.792385359696993</v>
      </c>
    </row>
    <row r="14" spans="1:14" ht="13.5" thickBot="1" x14ac:dyDescent="0.25">
      <c r="A14" s="361">
        <v>2010</v>
      </c>
      <c r="B14" s="363">
        <v>72.552045976151007</v>
      </c>
      <c r="C14" s="363">
        <v>72.971670511062001</v>
      </c>
      <c r="D14" s="363">
        <v>73.489725492434005</v>
      </c>
      <c r="E14" s="363">
        <v>73.255564640854004</v>
      </c>
      <c r="F14" s="363">
        <v>72.793977652452</v>
      </c>
      <c r="G14" s="363">
        <v>72.771183233271003</v>
      </c>
      <c r="H14" s="363">
        <v>72.929190002590005</v>
      </c>
      <c r="I14" s="363">
        <v>73.131749500306</v>
      </c>
      <c r="J14" s="363">
        <v>73.515110186520999</v>
      </c>
      <c r="K14" s="363">
        <v>73.968926350203006</v>
      </c>
      <c r="L14" s="363">
        <v>74.561581248891997</v>
      </c>
      <c r="M14" s="363">
        <v>74.930954450610002</v>
      </c>
    </row>
    <row r="15" spans="1:14" ht="13.5" thickBot="1" x14ac:dyDescent="0.25">
      <c r="A15" s="361">
        <v>2009</v>
      </c>
      <c r="B15" s="364">
        <v>69.456149407474001</v>
      </c>
      <c r="C15" s="364">
        <v>69.609493681960004</v>
      </c>
      <c r="D15" s="364">
        <v>70.009950182560999</v>
      </c>
      <c r="E15" s="364">
        <v>70.254990188749005</v>
      </c>
      <c r="F15" s="364">
        <v>70.050358471107998</v>
      </c>
      <c r="G15" s="364">
        <v>70.179354161469007</v>
      </c>
      <c r="H15" s="364">
        <v>70.370516449595002</v>
      </c>
      <c r="I15" s="364">
        <v>70.538884318540994</v>
      </c>
      <c r="J15" s="364">
        <v>70.892715870817995</v>
      </c>
      <c r="K15" s="364">
        <v>71.107190633106001</v>
      </c>
      <c r="L15" s="364">
        <v>71.476045779843005</v>
      </c>
      <c r="M15" s="364">
        <v>71.771855174205001</v>
      </c>
    </row>
    <row r="16" spans="1:14" ht="13.5" thickBot="1" x14ac:dyDescent="0.25">
      <c r="A16" s="361">
        <v>2008</v>
      </c>
      <c r="B16" s="363">
        <v>65.350563680104003</v>
      </c>
      <c r="C16" s="363">
        <v>65.544834298119</v>
      </c>
      <c r="D16" s="363">
        <v>66.019890716036002</v>
      </c>
      <c r="E16" s="363">
        <v>66.170126660633997</v>
      </c>
      <c r="F16" s="363">
        <v>66.098635073205003</v>
      </c>
      <c r="G16" s="363">
        <v>66.372168103369006</v>
      </c>
      <c r="H16" s="363">
        <v>66.742059360067998</v>
      </c>
      <c r="I16" s="363">
        <v>67.127492266209003</v>
      </c>
      <c r="J16" s="363">
        <v>67.584934814760004</v>
      </c>
      <c r="K16" s="363">
        <v>68.045485693200007</v>
      </c>
      <c r="L16" s="363">
        <v>68.818941780386993</v>
      </c>
      <c r="M16" s="363">
        <v>69.295552363249001</v>
      </c>
    </row>
    <row r="17" spans="1:13" ht="13.5" thickBot="1" x14ac:dyDescent="0.25">
      <c r="A17" s="361">
        <v>2007</v>
      </c>
      <c r="B17" s="364">
        <v>63.016207934043997</v>
      </c>
      <c r="C17" s="364">
        <v>63.192346627710997</v>
      </c>
      <c r="D17" s="364">
        <v>63.329113142792998</v>
      </c>
      <c r="E17" s="364">
        <v>63.291295129151997</v>
      </c>
      <c r="F17" s="364">
        <v>62.982534360255002</v>
      </c>
      <c r="G17" s="364">
        <v>63.058170387535</v>
      </c>
      <c r="H17" s="364">
        <v>63.326004812904003</v>
      </c>
      <c r="I17" s="364">
        <v>63.583996193627002</v>
      </c>
      <c r="J17" s="364">
        <v>64.077702590875006</v>
      </c>
      <c r="K17" s="364">
        <v>64.327405091895997</v>
      </c>
      <c r="L17" s="364">
        <v>64.781221255576995</v>
      </c>
      <c r="M17" s="364">
        <v>65.049055680945997</v>
      </c>
    </row>
    <row r="18" spans="1:13" ht="13.5" thickBot="1" x14ac:dyDescent="0.25">
      <c r="A18" s="361">
        <v>2006</v>
      </c>
      <c r="B18" s="363">
        <v>60.603625885795999</v>
      </c>
      <c r="C18" s="363">
        <v>60.696357727462001</v>
      </c>
      <c r="D18" s="363">
        <v>60.772511809722999</v>
      </c>
      <c r="E18" s="363">
        <v>60.861617266518998</v>
      </c>
      <c r="F18" s="363">
        <v>60.590674511262002</v>
      </c>
      <c r="G18" s="363">
        <v>60.642998064380002</v>
      </c>
      <c r="H18" s="363">
        <v>60.809293713400997</v>
      </c>
      <c r="I18" s="363">
        <v>61.119608647242003</v>
      </c>
      <c r="J18" s="363">
        <v>61.736612130056002</v>
      </c>
      <c r="K18" s="363">
        <v>62.006518775350997</v>
      </c>
      <c r="L18" s="363">
        <v>62.331857303652001</v>
      </c>
      <c r="M18" s="363">
        <v>62.692423570686003</v>
      </c>
    </row>
    <row r="19" spans="1:13" ht="13.5" thickBot="1" x14ac:dyDescent="0.25">
      <c r="A19" s="361">
        <v>2005</v>
      </c>
      <c r="B19" s="364">
        <v>58.309160373300998</v>
      </c>
      <c r="C19" s="364">
        <v>58.503430991316002</v>
      </c>
      <c r="D19" s="364">
        <v>58.767120976834001</v>
      </c>
      <c r="E19" s="364">
        <v>58.976415189308</v>
      </c>
      <c r="F19" s="364">
        <v>58.828251464635997</v>
      </c>
      <c r="G19" s="364">
        <v>58.771783471665998</v>
      </c>
      <c r="H19" s="364">
        <v>59.001799883395002</v>
      </c>
      <c r="I19" s="364">
        <v>59.072255360862002</v>
      </c>
      <c r="J19" s="364">
        <v>59.309006487348</v>
      </c>
      <c r="K19" s="364">
        <v>59.454579937113998</v>
      </c>
      <c r="L19" s="364">
        <v>59.882493351727</v>
      </c>
      <c r="M19" s="364">
        <v>60.250312388501001</v>
      </c>
    </row>
    <row r="20" spans="1:13" ht="13.5" thickBot="1" x14ac:dyDescent="0.25">
      <c r="A20" s="361">
        <v>2004</v>
      </c>
      <c r="B20" s="363">
        <v>55.774317349450001</v>
      </c>
      <c r="C20" s="363">
        <v>56.107944757452998</v>
      </c>
      <c r="D20" s="363">
        <v>56.298070935616998</v>
      </c>
      <c r="E20" s="363">
        <v>56.383031952562</v>
      </c>
      <c r="F20" s="363">
        <v>56.241602942646999</v>
      </c>
      <c r="G20" s="363">
        <v>56.331744509406001</v>
      </c>
      <c r="H20" s="363">
        <v>56.479390179097003</v>
      </c>
      <c r="I20" s="363">
        <v>56.828041181560003</v>
      </c>
      <c r="J20" s="363">
        <v>57.297917049664001</v>
      </c>
      <c r="K20" s="363">
        <v>57.694747165395</v>
      </c>
      <c r="L20" s="363">
        <v>58.186899397696997</v>
      </c>
      <c r="M20" s="363">
        <v>58.307088153376</v>
      </c>
    </row>
    <row r="21" spans="1:13" ht="13.5" thickBot="1" x14ac:dyDescent="0.25">
      <c r="A21" s="361">
        <v>2003</v>
      </c>
      <c r="B21" s="364">
        <v>53.525440675315998</v>
      </c>
      <c r="C21" s="364">
        <v>53.674122454969996</v>
      </c>
      <c r="D21" s="364">
        <v>54.012930412785998</v>
      </c>
      <c r="E21" s="364">
        <v>54.105144199469997</v>
      </c>
      <c r="F21" s="364">
        <v>53.930559670748998</v>
      </c>
      <c r="G21" s="364">
        <v>53.975112399147001</v>
      </c>
      <c r="H21" s="364">
        <v>54.053338701333999</v>
      </c>
      <c r="I21" s="364">
        <v>54.215489910502001</v>
      </c>
      <c r="J21" s="364">
        <v>54.538238163896999</v>
      </c>
      <c r="K21" s="364">
        <v>54.738207386707003</v>
      </c>
      <c r="L21" s="364">
        <v>55.192541605370003</v>
      </c>
      <c r="M21" s="364">
        <v>55.429810786837997</v>
      </c>
    </row>
    <row r="22" spans="1:13" ht="13.5" thickBot="1" x14ac:dyDescent="0.25">
      <c r="A22" s="361">
        <v>2002</v>
      </c>
      <c r="B22" s="363">
        <v>50.900472009715998</v>
      </c>
      <c r="C22" s="363">
        <v>50.867749849081001</v>
      </c>
      <c r="D22" s="363">
        <v>51.127948444495999</v>
      </c>
      <c r="E22" s="363">
        <v>51.407234972562001</v>
      </c>
      <c r="F22" s="363">
        <v>51.511429231397997</v>
      </c>
      <c r="G22" s="363">
        <v>51.762586176958997</v>
      </c>
      <c r="H22" s="363">
        <v>51.911181353361997</v>
      </c>
      <c r="I22" s="363">
        <v>52.108560301263999</v>
      </c>
      <c r="J22" s="363">
        <v>52.421983564994001</v>
      </c>
      <c r="K22" s="363">
        <v>52.653036086686001</v>
      </c>
      <c r="L22" s="363">
        <v>53.078877281373998</v>
      </c>
      <c r="M22" s="363">
        <v>53.309929803065003</v>
      </c>
    </row>
    <row r="23" spans="1:13" ht="13.5" thickBot="1" x14ac:dyDescent="0.25">
      <c r="A23" s="361">
        <v>2001</v>
      </c>
      <c r="B23" s="364">
        <v>48.575476247933999</v>
      </c>
      <c r="C23" s="364">
        <v>48.543328159565</v>
      </c>
      <c r="D23" s="364">
        <v>48.850887781723998</v>
      </c>
      <c r="E23" s="364">
        <v>49.097308632382997</v>
      </c>
      <c r="F23" s="364">
        <v>49.209970463624998</v>
      </c>
      <c r="G23" s="364">
        <v>49.326363767191999</v>
      </c>
      <c r="H23" s="364">
        <v>49.198201964029998</v>
      </c>
      <c r="I23" s="364">
        <v>49.489687547186001</v>
      </c>
      <c r="J23" s="364">
        <v>49.950381149771999</v>
      </c>
      <c r="K23" s="364">
        <v>50.176135367754</v>
      </c>
      <c r="L23" s="364">
        <v>50.365148908872001</v>
      </c>
      <c r="M23" s="364">
        <v>50.434898785092997</v>
      </c>
    </row>
    <row r="24" spans="1:13" ht="13.5" thickBot="1" x14ac:dyDescent="0.25">
      <c r="A24" s="361">
        <v>2000</v>
      </c>
      <c r="B24" s="363">
        <v>44.930830116377997</v>
      </c>
      <c r="C24" s="363">
        <v>45.329380314521998</v>
      </c>
      <c r="D24" s="363">
        <v>45.580680782035003</v>
      </c>
      <c r="E24" s="363">
        <v>45.840018271642002</v>
      </c>
      <c r="F24" s="363">
        <v>46.011379073729003</v>
      </c>
      <c r="G24" s="363">
        <v>46.283920241006001</v>
      </c>
      <c r="H24" s="363">
        <v>46.464466209717997</v>
      </c>
      <c r="I24" s="363">
        <v>46.719785188278003</v>
      </c>
      <c r="J24" s="363">
        <v>47.061071604014998</v>
      </c>
      <c r="K24" s="363">
        <v>47.385135825852998</v>
      </c>
      <c r="L24" s="363">
        <v>47.790287862832997</v>
      </c>
      <c r="M24" s="363">
        <v>48.307671180741004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TARIFAS ANEXO 8</vt:lpstr>
      <vt:lpstr>ISR </vt:lpstr>
      <vt:lpstr>ISR ANUAL </vt:lpstr>
      <vt:lpstr>IVA </vt:lpstr>
      <vt:lpstr>Hoja7</vt:lpstr>
      <vt:lpstr>INVERSION DEDUCCIONES</vt:lpstr>
      <vt:lpstr>VENTA ACTIVO FIJO</vt:lpstr>
      <vt:lpstr>PERDIDA FISCAL </vt:lpstr>
      <vt:lpstr>INPC</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decoslipk@hotmail.com</dc:creator>
  <cp:lastModifiedBy>decoslipk@hotmail.com</cp:lastModifiedBy>
  <dcterms:created xsi:type="dcterms:W3CDTF">2023-01-03T22:34:52Z</dcterms:created>
  <dcterms:modified xsi:type="dcterms:W3CDTF">2023-01-04T15:53:51Z</dcterms:modified>
</cp:coreProperties>
</file>