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 RESPALDO\00 YOUTUBE TAX Y ALAN B\Nueva carpeta\"/>
    </mc:Choice>
  </mc:AlternateContent>
  <bookViews>
    <workbookView xWindow="0" yWindow="0" windowWidth="20490" windowHeight="7650" activeTab="5"/>
  </bookViews>
  <sheets>
    <sheet name="TARIFAS" sheetId="2" r:id="rId1"/>
    <sheet name="RIF" sheetId="1" r:id="rId2"/>
    <sheet name="CEDULA IVA " sheetId="3" r:id="rId3"/>
    <sheet name="PROPORCION" sheetId="4" r:id="rId4"/>
    <sheet name="IVA RIF" sheetId="5" r:id="rId5"/>
    <sheet name="IVA, IEPS, P.G.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G35" i="1" s="1"/>
  <c r="I35" i="1" s="1"/>
  <c r="K35" i="1" s="1"/>
  <c r="M35" i="1" s="1"/>
  <c r="O35" i="1" s="1"/>
  <c r="F38" i="5"/>
  <c r="F36" i="5"/>
  <c r="F35" i="5"/>
  <c r="F37" i="5" s="1"/>
  <c r="F40" i="5" s="1"/>
  <c r="F22" i="5" s="1"/>
  <c r="G22" i="5"/>
  <c r="G21" i="5"/>
  <c r="G24" i="5" s="1"/>
  <c r="G27" i="5" s="1"/>
  <c r="G30" i="5" s="1"/>
  <c r="G31" i="5" s="1"/>
  <c r="F21" i="5"/>
  <c r="F24" i="5" s="1"/>
  <c r="F27" i="5" s="1"/>
  <c r="F18" i="5"/>
  <c r="E18" i="5"/>
  <c r="J7" i="5"/>
  <c r="I7" i="5"/>
  <c r="H7" i="5"/>
  <c r="K7" i="5" s="1"/>
  <c r="F26" i="4"/>
  <c r="D26" i="4"/>
  <c r="F25" i="4"/>
  <c r="F24" i="4"/>
  <c r="K23" i="4"/>
  <c r="F23" i="4"/>
  <c r="F22" i="4"/>
  <c r="F21" i="4"/>
  <c r="D17" i="4"/>
  <c r="O17" i="4" s="1"/>
  <c r="F16" i="4"/>
  <c r="O15" i="4"/>
  <c r="O14" i="4"/>
  <c r="O16" i="4" s="1"/>
  <c r="J10" i="4"/>
  <c r="J8" i="4"/>
  <c r="J9" i="4" s="1"/>
  <c r="J11" i="4" s="1"/>
  <c r="C3" i="3"/>
  <c r="G38" i="3"/>
  <c r="C38" i="3"/>
  <c r="N37" i="3"/>
  <c r="M37" i="3"/>
  <c r="L37" i="3"/>
  <c r="K37" i="3"/>
  <c r="K38" i="3" s="1"/>
  <c r="J37" i="3"/>
  <c r="I37" i="3"/>
  <c r="H37" i="3"/>
  <c r="G37" i="3"/>
  <c r="F37" i="3"/>
  <c r="E37" i="3"/>
  <c r="D37" i="3"/>
  <c r="O37" i="3" s="1"/>
  <c r="O36" i="3"/>
  <c r="N35" i="3"/>
  <c r="M35" i="3"/>
  <c r="L35" i="3"/>
  <c r="K35" i="3"/>
  <c r="J35" i="3"/>
  <c r="I35" i="3"/>
  <c r="H35" i="3"/>
  <c r="G35" i="3"/>
  <c r="F35" i="3"/>
  <c r="E35" i="3"/>
  <c r="D35" i="3"/>
  <c r="C35" i="3"/>
  <c r="O35" i="3" s="1"/>
  <c r="N34" i="3"/>
  <c r="N38" i="3" s="1"/>
  <c r="M34" i="3"/>
  <c r="M38" i="3" s="1"/>
  <c r="L34" i="3"/>
  <c r="L38" i="3" s="1"/>
  <c r="K34" i="3"/>
  <c r="J34" i="3"/>
  <c r="J38" i="3" s="1"/>
  <c r="I34" i="3"/>
  <c r="I38" i="3" s="1"/>
  <c r="H34" i="3"/>
  <c r="H38" i="3" s="1"/>
  <c r="G34" i="3"/>
  <c r="F34" i="3"/>
  <c r="F38" i="3" s="1"/>
  <c r="E34" i="3"/>
  <c r="E38" i="3" s="1"/>
  <c r="D34" i="3"/>
  <c r="D38" i="3" s="1"/>
  <c r="C34" i="3"/>
  <c r="N32" i="3"/>
  <c r="M32" i="3"/>
  <c r="L32" i="3"/>
  <c r="K32" i="3"/>
  <c r="J32" i="3"/>
  <c r="I32" i="3"/>
  <c r="H32" i="3"/>
  <c r="G32" i="3"/>
  <c r="F32" i="3"/>
  <c r="E32" i="3"/>
  <c r="D32" i="3"/>
  <c r="C32" i="3"/>
  <c r="O32" i="3" s="1"/>
  <c r="O31" i="3"/>
  <c r="O30" i="3"/>
  <c r="O29" i="3"/>
  <c r="O28" i="3"/>
  <c r="L25" i="3"/>
  <c r="L42" i="3" s="1"/>
  <c r="H25" i="3"/>
  <c r="D25" i="3"/>
  <c r="D42" i="3" s="1"/>
  <c r="O24" i="3"/>
  <c r="N23" i="3"/>
  <c r="M23" i="3"/>
  <c r="L23" i="3"/>
  <c r="K23" i="3"/>
  <c r="J23" i="3"/>
  <c r="I23" i="3"/>
  <c r="H23" i="3"/>
  <c r="G23" i="3"/>
  <c r="F23" i="3"/>
  <c r="E23" i="3"/>
  <c r="D23" i="3"/>
  <c r="C23" i="3"/>
  <c r="O23" i="3" s="1"/>
  <c r="N22" i="3"/>
  <c r="N25" i="3" s="1"/>
  <c r="M22" i="3"/>
  <c r="M25" i="3" s="1"/>
  <c r="L22" i="3"/>
  <c r="K22" i="3"/>
  <c r="K25" i="3" s="1"/>
  <c r="J22" i="3"/>
  <c r="J25" i="3" s="1"/>
  <c r="I22" i="3"/>
  <c r="I25" i="3" s="1"/>
  <c r="H22" i="3"/>
  <c r="G22" i="3"/>
  <c r="O22" i="3" s="1"/>
  <c r="O25" i="3" s="1"/>
  <c r="F22" i="3"/>
  <c r="F25" i="3" s="1"/>
  <c r="E22" i="3"/>
  <c r="E25" i="3" s="1"/>
  <c r="D22" i="3"/>
  <c r="C22" i="3"/>
  <c r="C25" i="3" s="1"/>
  <c r="N20" i="3"/>
  <c r="M20" i="3"/>
  <c r="L20" i="3"/>
  <c r="K20" i="3"/>
  <c r="J20" i="3"/>
  <c r="I20" i="3"/>
  <c r="H20" i="3"/>
  <c r="G20" i="3"/>
  <c r="F20" i="3"/>
  <c r="E20" i="3"/>
  <c r="D20" i="3"/>
  <c r="C20" i="3"/>
  <c r="O20" i="3" s="1"/>
  <c r="O19" i="3"/>
  <c r="O18" i="3"/>
  <c r="O17" i="3"/>
  <c r="O16" i="3"/>
  <c r="O15" i="3"/>
  <c r="O14" i="3"/>
  <c r="O13" i="3"/>
  <c r="O14" i="1"/>
  <c r="K14" i="1"/>
  <c r="K17" i="1" s="1"/>
  <c r="I14" i="1"/>
  <c r="I17" i="1" s="1"/>
  <c r="G14" i="1"/>
  <c r="E14" i="1"/>
  <c r="D14" i="1"/>
  <c r="C14" i="1"/>
  <c r="C21" i="1" s="1"/>
  <c r="M14" i="1"/>
  <c r="D13" i="1"/>
  <c r="O9" i="1"/>
  <c r="M9" i="1"/>
  <c r="K9" i="1"/>
  <c r="I9" i="1"/>
  <c r="G9" i="1"/>
  <c r="E9" i="1"/>
  <c r="D8" i="1"/>
  <c r="D9" i="1" s="1"/>
  <c r="D21" i="1" s="1"/>
  <c r="O17" i="1" l="1"/>
  <c r="M17" i="1"/>
  <c r="G17" i="1"/>
  <c r="E17" i="1"/>
  <c r="E21" i="1"/>
  <c r="F31" i="5"/>
  <c r="F30" i="5"/>
  <c r="O18" i="4"/>
  <c r="F41" i="3"/>
  <c r="F42" i="3"/>
  <c r="M41" i="3"/>
  <c r="M42" i="3"/>
  <c r="H41" i="3"/>
  <c r="O38" i="3"/>
  <c r="E41" i="3"/>
  <c r="E42" i="3"/>
  <c r="J42" i="3"/>
  <c r="J41" i="3"/>
  <c r="N41" i="3"/>
  <c r="N42" i="3"/>
  <c r="I41" i="3"/>
  <c r="I42" i="3"/>
  <c r="C42" i="3"/>
  <c r="C41" i="3"/>
  <c r="K42" i="3"/>
  <c r="K41" i="3"/>
  <c r="O34" i="3"/>
  <c r="D41" i="3"/>
  <c r="L41" i="3"/>
  <c r="G25" i="3"/>
  <c r="H42" i="3"/>
  <c r="D23" i="1"/>
  <c r="D25" i="1" s="1"/>
  <c r="D31" i="1"/>
  <c r="D27" i="1" s="1"/>
  <c r="D15" i="1"/>
  <c r="G19" i="1"/>
  <c r="G21" i="1" s="1"/>
  <c r="E31" i="1" l="1"/>
  <c r="E27" i="1"/>
  <c r="G31" i="1"/>
  <c r="G27" i="1"/>
  <c r="G23" i="1"/>
  <c r="G25" i="1" s="1"/>
  <c r="E23" i="1"/>
  <c r="E25" i="1" s="1"/>
  <c r="C44" i="3"/>
  <c r="G41" i="3"/>
  <c r="O41" i="3" s="1"/>
  <c r="G42" i="3"/>
  <c r="O42" i="3" s="1"/>
  <c r="D29" i="1"/>
  <c r="D33" i="1" s="1"/>
  <c r="D39" i="1" s="1"/>
  <c r="I19" i="1"/>
  <c r="E29" i="1" l="1"/>
  <c r="E33" i="1" s="1"/>
  <c r="C45" i="3"/>
  <c r="D43" i="3" s="1"/>
  <c r="D44" i="3" s="1"/>
  <c r="D45" i="3" s="1"/>
  <c r="E43" i="3" s="1"/>
  <c r="E44" i="3" s="1"/>
  <c r="E45" i="3" s="1"/>
  <c r="F43" i="3" s="1"/>
  <c r="F44" i="3" s="1"/>
  <c r="F45" i="3" s="1"/>
  <c r="G43" i="3" s="1"/>
  <c r="G44" i="3" s="1"/>
  <c r="G45" i="3" s="1"/>
  <c r="H43" i="3" s="1"/>
  <c r="H44" i="3" s="1"/>
  <c r="H45" i="3" s="1"/>
  <c r="I43" i="3" s="1"/>
  <c r="I44" i="3" s="1"/>
  <c r="I45" i="3" s="1"/>
  <c r="J43" i="3" s="1"/>
  <c r="J44" i="3" s="1"/>
  <c r="J45" i="3" s="1"/>
  <c r="K43" i="3" s="1"/>
  <c r="K44" i="3" s="1"/>
  <c r="K45" i="3" s="1"/>
  <c r="L43" i="3" s="1"/>
  <c r="L44" i="3" s="1"/>
  <c r="L45" i="3" s="1"/>
  <c r="M43" i="3" s="1"/>
  <c r="M44" i="3" s="1"/>
  <c r="M45" i="3" s="1"/>
  <c r="N43" i="3" s="1"/>
  <c r="N44" i="3" s="1"/>
  <c r="N45" i="3" s="1"/>
  <c r="O43" i="3" s="1"/>
  <c r="G29" i="1"/>
  <c r="G33" i="1" s="1"/>
  <c r="I21" i="1"/>
  <c r="K19" i="1"/>
  <c r="I23" i="1" l="1"/>
  <c r="I25" i="1" s="1"/>
  <c r="I31" i="1"/>
  <c r="I27" i="1"/>
  <c r="E37" i="1"/>
  <c r="E39" i="1" s="1"/>
  <c r="O44" i="3"/>
  <c r="K21" i="1"/>
  <c r="M19" i="1"/>
  <c r="G37" i="1"/>
  <c r="G39" i="1" s="1"/>
  <c r="K27" i="1" l="1"/>
  <c r="K23" i="1"/>
  <c r="K25" i="1" s="1"/>
  <c r="K29" i="1" s="1"/>
  <c r="K33" i="1" s="1"/>
  <c r="K31" i="1"/>
  <c r="I29" i="1"/>
  <c r="I33" i="1" s="1"/>
  <c r="I37" i="1" s="1"/>
  <c r="I39" i="1" s="1"/>
  <c r="M21" i="1"/>
  <c r="O19" i="1"/>
  <c r="O21" i="1" s="1"/>
  <c r="M31" i="1" l="1"/>
  <c r="M27" i="1"/>
  <c r="M23" i="1"/>
  <c r="M25" i="1" s="1"/>
  <c r="O31" i="1"/>
  <c r="O27" i="1"/>
  <c r="O23" i="1"/>
  <c r="O25" i="1" s="1"/>
  <c r="K37" i="1"/>
  <c r="K39" i="1" s="1"/>
  <c r="O29" i="1" l="1"/>
  <c r="O33" i="1" s="1"/>
  <c r="O37" i="1" s="1"/>
  <c r="O39" i="1" s="1"/>
  <c r="M29" i="1"/>
  <c r="M33" i="1" s="1"/>
  <c r="M37" i="1" s="1"/>
  <c r="M39" i="1" s="1"/>
</calcChain>
</file>

<file path=xl/sharedStrings.xml><?xml version="1.0" encoding="utf-8"?>
<sst xmlns="http://schemas.openxmlformats.org/spreadsheetml/2006/main" count="268" uniqueCount="198">
  <si>
    <t xml:space="preserve">CONSULTORES CONTABLES DE MEXICO </t>
  </si>
  <si>
    <t>1er BIMESTRE</t>
  </si>
  <si>
    <t>2do BIMESTRE</t>
  </si>
  <si>
    <t>3er BIMESTRE</t>
  </si>
  <si>
    <t>4to BIMESTRE</t>
  </si>
  <si>
    <t>5to BIMESTRE</t>
  </si>
  <si>
    <t>6to BIMESTRE</t>
  </si>
  <si>
    <t>ENERO</t>
  </si>
  <si>
    <t>ENE - FEB</t>
  </si>
  <si>
    <t>MARZO</t>
  </si>
  <si>
    <t>MAR - ABR</t>
  </si>
  <si>
    <t>MAYO</t>
  </si>
  <si>
    <t>MAY - JUN</t>
  </si>
  <si>
    <t>JULIO</t>
  </si>
  <si>
    <t>JUL - AGO</t>
  </si>
  <si>
    <t>SEPTIEMBRE</t>
  </si>
  <si>
    <t>SEP - OCT</t>
  </si>
  <si>
    <t>NOVIEMBRE</t>
  </si>
  <si>
    <t>NOV - DIC</t>
  </si>
  <si>
    <t>INGRESOS DEL PERIODO</t>
  </si>
  <si>
    <t>INGRESOS ACUMULABLES</t>
  </si>
  <si>
    <t>SUELDOS Y SALARIOS</t>
  </si>
  <si>
    <t>ACTIVOS FIJOS</t>
  </si>
  <si>
    <t>DEDUCCIONES DEL PERIODO</t>
  </si>
  <si>
    <t>TOTAL DE DEDUCCIONES</t>
  </si>
  <si>
    <t>PTU</t>
  </si>
  <si>
    <t>UTILIDAD FISCAL</t>
  </si>
  <si>
    <t>PERDIDA FISCAL PERIODOS ANTERIORES</t>
  </si>
  <si>
    <t>BASE GRAVABLE</t>
  </si>
  <si>
    <t xml:space="preserve"> - LIMITE INFERIOR</t>
  </si>
  <si>
    <t xml:space="preserve"> = EXCEDENTE S/LIM INF.</t>
  </si>
  <si>
    <t xml:space="preserve"> x % DE TASA</t>
  </si>
  <si>
    <t xml:space="preserve"> = IMPUESTO MARGINAL</t>
  </si>
  <si>
    <t xml:space="preserve"> + CUOTA FIJA</t>
  </si>
  <si>
    <t xml:space="preserve"> = IMPUESTO DETERMINADO</t>
  </si>
  <si>
    <t xml:space="preserve"> - Reduccion de Impuesto </t>
  </si>
  <si>
    <t xml:space="preserve"> = ISR PAGO DEFINITIVO 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</si>
  <si>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</si>
  <si>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</si>
  <si>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</si>
  <si>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</si>
  <si>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</si>
  <si>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</si>
  <si>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>Ejercicio :</t>
  </si>
  <si>
    <t xml:space="preserve"> </t>
  </si>
  <si>
    <t>Cta. Ing. X Vta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</si>
  <si>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</si>
  <si>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</si>
  <si>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</si>
  <si>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</si>
  <si>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</si>
  <si>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</si>
  <si>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</si>
  <si>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</si>
  <si>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</si>
  <si>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</si>
  <si>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</si>
  <si>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</si>
  <si>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</si>
  <si>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</si>
  <si>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IVA CAUSADO</t>
  </si>
  <si>
    <t>Ingresos Gravados al 16%</t>
  </si>
  <si>
    <t>Ingresos Gravados al 8%</t>
  </si>
  <si>
    <t>Ingresos Gravados al 0%</t>
  </si>
  <si>
    <t>Ingresos Exentos</t>
  </si>
  <si>
    <t>Ingresos Gravados al 15%</t>
  </si>
  <si>
    <t>Ingresos Gravados al 10%</t>
  </si>
  <si>
    <t>Otras Bases</t>
  </si>
  <si>
    <t>Total Ingresos</t>
  </si>
  <si>
    <t>IVA trasladado al 16%</t>
  </si>
  <si>
    <t>IVA trasladado al 11%</t>
  </si>
  <si>
    <t>IVA Retenido</t>
  </si>
  <si>
    <t>Total IVA Trasladado</t>
  </si>
  <si>
    <t>IVA ACREDITABLE</t>
  </si>
  <si>
    <t>Base gravable al 16%</t>
  </si>
  <si>
    <t>Base gravable al 8%</t>
  </si>
  <si>
    <t>Base gravable al 0%</t>
  </si>
  <si>
    <t>Base gravable exenta</t>
  </si>
  <si>
    <t>Total Base IVA Acreditable</t>
  </si>
  <si>
    <t>IVA Acreditable al 16%</t>
  </si>
  <si>
    <t>IVA Acreditable al 8%</t>
  </si>
  <si>
    <t>IVA Retenido Meses Anteriores</t>
  </si>
  <si>
    <t>Total IVA Acreditable</t>
  </si>
  <si>
    <t>Determinación del IVA</t>
  </si>
  <si>
    <t>IVA a cargo del periodo</t>
  </si>
  <si>
    <t>IVA a favor del periodo</t>
  </si>
  <si>
    <t>IVA pendiente por acreditar</t>
  </si>
  <si>
    <t xml:space="preserve">IVA a cargo   </t>
  </si>
  <si>
    <t>IVA a favor</t>
  </si>
  <si>
    <t xml:space="preserve">UN MEDICO DECIDE TRIBUTAR EN RESICO, SUS ACTIVIDADES ECONOMICAS SON LAS SIGUIENTES </t>
  </si>
  <si>
    <t>CONSULTA MEDICA</t>
  </si>
  <si>
    <t>FARMACIA/MEDICAMENTOS</t>
  </si>
  <si>
    <t>CURSOS ONLINE</t>
  </si>
  <si>
    <t>CALCULO DE PROPORCION DE IVA ACREDITABLE</t>
  </si>
  <si>
    <t>MEDICO CON ACTIVIDADES:</t>
  </si>
  <si>
    <t>TIPO DE INGRESO</t>
  </si>
  <si>
    <t>VALOR DE LAS ACTIVIDADES</t>
  </si>
  <si>
    <t>TASA</t>
  </si>
  <si>
    <t>PROCENTAJE</t>
  </si>
  <si>
    <t>RESUMEN ANALITICO 1</t>
  </si>
  <si>
    <t>IMPORTE</t>
  </si>
  <si>
    <t>CALCULO DE PROPORCION 2</t>
  </si>
  <si>
    <t xml:space="preserve">VENTA DE LIBROS </t>
  </si>
  <si>
    <t>EXENTO</t>
  </si>
  <si>
    <t>iva acreditable identificadoal 16%</t>
  </si>
  <si>
    <t>VALOR DE ACTIVIDADES GRAVADAS 16%</t>
  </si>
  <si>
    <t>MAS:</t>
  </si>
  <si>
    <t>FARMACIA</t>
  </si>
  <si>
    <t>iva acreditable identificado al 0%</t>
  </si>
  <si>
    <t>VALOR DE ACTIVIDADES GRAVADAS 0%</t>
  </si>
  <si>
    <t xml:space="preserve">CURSOS </t>
  </si>
  <si>
    <t>iva acreditable exento</t>
  </si>
  <si>
    <t>IGUAL:</t>
  </si>
  <si>
    <t xml:space="preserve">VALOR TOTAL DE ACTIVIDADES GRAVADAS </t>
  </si>
  <si>
    <t>iva acreditable no identificado</t>
  </si>
  <si>
    <t>ENTRE:</t>
  </si>
  <si>
    <t xml:space="preserve">VALOR TOTAL DE ACTIVIDADES   </t>
  </si>
  <si>
    <t>IGUAL</t>
  </si>
  <si>
    <t xml:space="preserve">PROPORCIÓN </t>
  </si>
  <si>
    <t xml:space="preserve">EROGACIONES </t>
  </si>
  <si>
    <t>TASA %</t>
  </si>
  <si>
    <t>TIPO</t>
  </si>
  <si>
    <t>IVA ACREDITABLE PROPORCIONAL 3</t>
  </si>
  <si>
    <t xml:space="preserve">IMPORTE </t>
  </si>
  <si>
    <t>RESUMEN 4</t>
  </si>
  <si>
    <t>RENTA DE CONSULTORIO</t>
  </si>
  <si>
    <t>IVA ACREDITABLE NO IDENTIFICADO</t>
  </si>
  <si>
    <t>IVA ACREDITABLE IDENTIFICADO AL 16%</t>
  </si>
  <si>
    <t>RENTA DE FARMACIA</t>
  </si>
  <si>
    <t>(X)</t>
  </si>
  <si>
    <t>PROPORCIÓN</t>
  </si>
  <si>
    <t>IVA ACREDITABLE IDENTIFICADO AL 0%</t>
  </si>
  <si>
    <t>LINEA TELEFONO CONSULTORIO</t>
  </si>
  <si>
    <t xml:space="preserve">IGUAL: </t>
  </si>
  <si>
    <t>IVA ACREDITABLE PROPORCIONAL</t>
  </si>
  <si>
    <t>PAPELERIA (CURSOS)</t>
  </si>
  <si>
    <t>.</t>
  </si>
  <si>
    <t>HONORARIOS C.P.</t>
  </si>
  <si>
    <t>16%, 0% EXENTO</t>
  </si>
  <si>
    <t>ANTIGÜEDAD 1 AÑ0</t>
  </si>
  <si>
    <t>RMF</t>
  </si>
  <si>
    <t>2.7.1.21</t>
  </si>
  <si>
    <t>IVA</t>
  </si>
  <si>
    <t>CASO 1 CON OPERACIÓN P.G.</t>
  </si>
  <si>
    <t>CASO 2 CON OPERACIÓN P.G. + 16%</t>
  </si>
  <si>
    <t>CASO 3 CON OPERACIÓN P.G, TASA 16% TASA 0% Y EXENTAS</t>
  </si>
  <si>
    <t>Ingresos por ventas al público en general *</t>
  </si>
  <si>
    <t>IVA TRAS</t>
  </si>
  <si>
    <t>IVA ACRE</t>
  </si>
  <si>
    <t>IVA ACRE PRO.</t>
  </si>
  <si>
    <t>IVA A CARGO</t>
  </si>
  <si>
    <t>Ingresos facturados clientes individuales tasa 16% *</t>
  </si>
  <si>
    <t>Ingresos facturados clientes individuales tasa 0% *</t>
  </si>
  <si>
    <t>Ingresos exentos</t>
  </si>
  <si>
    <t>Compras y gastos pagados con tasa 16%</t>
  </si>
  <si>
    <t>Compras y gastos pagados en la región fronteriza norte</t>
  </si>
  <si>
    <t>Compras y gastos pagados en la región fronteriza sur</t>
  </si>
  <si>
    <t>Compras y gastos pagados a la tasa del 0%</t>
  </si>
  <si>
    <t>Proporcion utilizada conforme a la LIVA *</t>
  </si>
  <si>
    <t>IVA que te retuvieron</t>
  </si>
  <si>
    <r>
      <t xml:space="preserve">IVA por venta al público en general </t>
    </r>
    <r>
      <rPr>
        <sz val="11"/>
        <color rgb="FFFF0000"/>
        <rFont val="Calibri"/>
        <family val="2"/>
        <scheme val="minor"/>
      </rPr>
      <t>(2% IVA VERIFICA)</t>
    </r>
  </si>
  <si>
    <t>Porcentaje reducción (1 AÑO DE REDUCCIÓN)</t>
  </si>
  <si>
    <t>IVA cobrado</t>
  </si>
  <si>
    <t>IVA acreditable</t>
  </si>
  <si>
    <t>IVA a cargo</t>
  </si>
  <si>
    <t>IVA A FAVOR DE PERIODOS ANTERIORES</t>
  </si>
  <si>
    <t>IVA A PAGAR</t>
  </si>
  <si>
    <t>ACTUALIZACION</t>
  </si>
  <si>
    <t>RECARGOS</t>
  </si>
  <si>
    <t>TOTAL DE CONTRIBUCIONES</t>
  </si>
  <si>
    <t xml:space="preserve">CANTIDAD A PAGAR </t>
  </si>
  <si>
    <t>ART. 23 LIF INGRESOS EXCLUSIVOS RIF Y NO EXCEDER DE 300,000 PARA QUE EL IVA AL PUBLICO EN GENERAL ESTE 100% EXENTO, AL EXCEDER TENDRA QUE PAGAR IVA CONFORME AL % ESTABLECIDO Y AÑOS DE TRIBUTACION EN PORCENTAJE DE DISMINUCION</t>
  </si>
  <si>
    <t>CASO 2</t>
  </si>
  <si>
    <t>INGRESO INDIVIDUAL</t>
  </si>
  <si>
    <t>INGRESO P.G. + INDIVIDUAL</t>
  </si>
  <si>
    <t>PROPORCION</t>
  </si>
  <si>
    <t xml:space="preserve">IVA ACREDITABLE </t>
  </si>
  <si>
    <t>IVA ACREDITABLE PROPORCION</t>
  </si>
  <si>
    <t>Tarifas bimestrales para los RIF</t>
  </si>
  <si>
    <t>PAGOS DEFINITIVOS</t>
  </si>
  <si>
    <t>DEFINITIVOS</t>
  </si>
  <si>
    <t>Límite inferior en $</t>
  </si>
  <si>
    <t>Límite superior en $</t>
  </si>
  <si>
    <t>Cuota fija en $</t>
  </si>
  <si>
    <r>
      <t>Porcentaje</t>
    </r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para aplicarse sobre el excedente del límite inferior</t>
    </r>
  </si>
  <si>
    <t>En adelante</t>
  </si>
  <si>
    <t>COEFICIENTE DE UTILIDAD</t>
  </si>
  <si>
    <t>Enero – Febrero</t>
  </si>
  <si>
    <t>Marzo – Abril</t>
  </si>
  <si>
    <t>Mayo – Junio</t>
  </si>
  <si>
    <t>Julio – Agosto</t>
  </si>
  <si>
    <t>Septiembre – Octubre</t>
  </si>
  <si>
    <t>Noviembre – Diciembre</t>
  </si>
  <si>
    <t xml:space="preserve">AÑOS TRIBUTACIÓN </t>
  </si>
  <si>
    <t>AÑOS</t>
  </si>
  <si>
    <t>PORCENTAJE REDUCCION</t>
  </si>
  <si>
    <t>HOJA DE CLACULO ISR REGIMEN DE INCORPORACION FISCAL (RIF ART. 111-113 LISR)</t>
  </si>
  <si>
    <t xml:space="preserve"> X % de Subcidio (Art. 111 LISR)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</si>
</sst>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.00_ ;[Red]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333333"/>
      <name val="Calibri"/>
      <family val="2"/>
      <scheme val="minor"/>
    </font>
    <font>
      <b/>
      <sz val="14"/>
      <color theme="2" tint="-0.89999084444715716"/>
      <name val="Arial"/>
      <family val="2"/>
    </font>
    <font>
      <b/>
      <sz val="13.5"/>
      <color rgb="FF333333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5">
    <xf numFmtId="0" fontId="0" fillId="0" borderId="0" xfId="0"/>
    <xf numFmtId="0" fontId="6" fillId="0" borderId="0" xfId="0" applyFont="1"/>
    <xf numFmtId="0" fontId="11" fillId="0" borderId="0" xfId="0" applyFont="1" applyAlignment="1">
      <alignment vertical="center" wrapText="1"/>
    </xf>
    <xf numFmtId="165" fontId="12" fillId="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right"/>
    </xf>
    <xf numFmtId="1" fontId="7" fillId="5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3" fontId="13" fillId="6" borderId="0" xfId="0" applyNumberFormat="1" applyFont="1" applyFill="1" applyAlignment="1">
      <alignment horizontal="center" vertical="top" wrapText="1"/>
    </xf>
    <xf numFmtId="3" fontId="14" fillId="2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2" borderId="0" xfId="0" applyFont="1" applyFill="1"/>
    <xf numFmtId="0" fontId="15" fillId="0" borderId="5" xfId="0" applyFont="1" applyBorder="1"/>
    <xf numFmtId="4" fontId="0" fillId="0" borderId="0" xfId="0" applyNumberFormat="1"/>
    <xf numFmtId="4" fontId="15" fillId="0" borderId="0" xfId="0" applyNumberFormat="1" applyFont="1"/>
    <xf numFmtId="0" fontId="6" fillId="0" borderId="2" xfId="0" applyFont="1" applyBorder="1"/>
    <xf numFmtId="4" fontId="6" fillId="0" borderId="2" xfId="0" applyNumberFormat="1" applyFont="1" applyBorder="1"/>
    <xf numFmtId="4" fontId="6" fillId="0" borderId="0" xfId="0" applyNumberFormat="1" applyFont="1"/>
    <xf numFmtId="0" fontId="16" fillId="7" borderId="0" xfId="0" applyFont="1" applyFill="1"/>
    <xf numFmtId="4" fontId="6" fillId="7" borderId="0" xfId="0" applyNumberFormat="1" applyFont="1" applyFill="1"/>
    <xf numFmtId="0" fontId="6" fillId="7" borderId="1" xfId="0" applyFont="1" applyFill="1" applyBorder="1"/>
    <xf numFmtId="3" fontId="6" fillId="7" borderId="1" xfId="0" applyNumberFormat="1" applyFont="1" applyFill="1" applyBorder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7" fillId="0" borderId="0" xfId="0" applyFont="1" applyAlignment="1">
      <alignment horizontal="center"/>
    </xf>
    <xf numFmtId="0" fontId="18" fillId="11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44" fontId="18" fillId="2" borderId="8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8" fillId="12" borderId="9" xfId="0" applyFont="1" applyFill="1" applyBorder="1" applyAlignment="1">
      <alignment horizontal="center" vertical="center"/>
    </xf>
    <xf numFmtId="0" fontId="0" fillId="0" borderId="9" xfId="0" applyBorder="1"/>
    <xf numFmtId="44" fontId="0" fillId="0" borderId="9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 applyAlignment="1">
      <alignment horizontal="center"/>
    </xf>
    <xf numFmtId="0" fontId="18" fillId="13" borderId="1" xfId="0" applyFont="1" applyFill="1" applyBorder="1"/>
    <xf numFmtId="0" fontId="18" fillId="13" borderId="1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9" xfId="1" applyFont="1" applyBorder="1"/>
    <xf numFmtId="44" fontId="0" fillId="0" borderId="1" xfId="1" applyFont="1" applyBorder="1"/>
    <xf numFmtId="0" fontId="3" fillId="0" borderId="0" xfId="0" applyFont="1"/>
    <xf numFmtId="0" fontId="3" fillId="0" borderId="0" xfId="0" applyFont="1" applyFill="1" applyBorder="1"/>
    <xf numFmtId="44" fontId="3" fillId="0" borderId="0" xfId="1" applyFont="1"/>
    <xf numFmtId="44" fontId="3" fillId="0" borderId="1" xfId="0" applyNumberFormat="1" applyFont="1" applyBorder="1" applyAlignment="1">
      <alignment horizontal="center"/>
    </xf>
    <xf numFmtId="44" fontId="19" fillId="0" borderId="1" xfId="0" applyNumberFormat="1" applyFont="1" applyBorder="1" applyAlignment="1">
      <alignment horizontal="center"/>
    </xf>
    <xf numFmtId="1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8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4" fontId="0" fillId="0" borderId="10" xfId="1" applyFont="1" applyBorder="1"/>
    <xf numFmtId="44" fontId="0" fillId="0" borderId="15" xfId="1" applyFont="1" applyBorder="1"/>
    <xf numFmtId="44" fontId="0" fillId="0" borderId="0" xfId="0" applyNumberFormat="1"/>
    <xf numFmtId="0" fontId="0" fillId="0" borderId="0" xfId="0" applyAlignment="1">
      <alignment horizontal="left" vertical="center"/>
    </xf>
    <xf numFmtId="9" fontId="2" fillId="0" borderId="10" xfId="2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9" fontId="0" fillId="0" borderId="10" xfId="1" applyNumberFormat="1" applyFont="1" applyBorder="1"/>
    <xf numFmtId="9" fontId="0" fillId="0" borderId="10" xfId="2" applyFont="1" applyBorder="1"/>
    <xf numFmtId="44" fontId="0" fillId="15" borderId="10" xfId="1" applyFont="1" applyFill="1" applyBorder="1"/>
    <xf numFmtId="164" fontId="0" fillId="0" borderId="10" xfId="1" applyNumberFormat="1" applyFont="1" applyBorder="1"/>
    <xf numFmtId="164" fontId="0" fillId="0" borderId="9" xfId="1" applyNumberFormat="1" applyFont="1" applyBorder="1"/>
    <xf numFmtId="0" fontId="0" fillId="0" borderId="0" xfId="0" applyAlignment="1">
      <alignment horizontal="center" vertical="center" wrapText="1"/>
    </xf>
    <xf numFmtId="0" fontId="0" fillId="14" borderId="0" xfId="0" applyFill="1" applyAlignment="1">
      <alignment horizontal="center"/>
    </xf>
    <xf numFmtId="9" fontId="0" fillId="0" borderId="0" xfId="2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Alignment="1"/>
    <xf numFmtId="0" fontId="6" fillId="0" borderId="0" xfId="0" applyFont="1" applyAlignment="1"/>
    <xf numFmtId="164" fontId="0" fillId="0" borderId="0" xfId="3" applyNumberFormat="1" applyFont="1" applyAlignment="1"/>
    <xf numFmtId="164" fontId="0" fillId="0" borderId="0" xfId="0" applyNumberFormat="1" applyAlignment="1"/>
    <xf numFmtId="0" fontId="0" fillId="12" borderId="0" xfId="0" applyFill="1" applyAlignment="1"/>
    <xf numFmtId="164" fontId="0" fillId="0" borderId="2" xfId="3" applyNumberFormat="1" applyFont="1" applyBorder="1" applyAlignment="1"/>
    <xf numFmtId="164" fontId="0" fillId="12" borderId="2" xfId="3" applyNumberFormat="1" applyFont="1" applyFill="1" applyBorder="1" applyAlignment="1"/>
    <xf numFmtId="9" fontId="0" fillId="0" borderId="0" xfId="2" applyFont="1" applyAlignment="1"/>
    <xf numFmtId="0" fontId="8" fillId="0" borderId="0" xfId="0" applyFont="1" applyAlignment="1"/>
    <xf numFmtId="0" fontId="9" fillId="0" borderId="0" xfId="0" applyFont="1" applyAlignment="1"/>
    <xf numFmtId="164" fontId="9" fillId="0" borderId="0" xfId="0" applyNumberFormat="1" applyFont="1" applyAlignment="1"/>
    <xf numFmtId="44" fontId="9" fillId="0" borderId="0" xfId="3" applyFont="1" applyAlignment="1"/>
    <xf numFmtId="0" fontId="6" fillId="0" borderId="0" xfId="0" applyFont="1" applyAlignment="1"/>
    <xf numFmtId="9" fontId="6" fillId="0" borderId="0" xfId="0" applyNumberFormat="1" applyFont="1" applyAlignment="1"/>
    <xf numFmtId="0" fontId="10" fillId="0" borderId="0" xfId="0" applyFont="1" applyAlignment="1"/>
    <xf numFmtId="44" fontId="10" fillId="0" borderId="0" xfId="3" applyFont="1" applyAlignment="1"/>
    <xf numFmtId="0" fontId="9" fillId="12" borderId="0" xfId="0" applyFont="1" applyFill="1" applyAlignment="1"/>
    <xf numFmtId="0" fontId="10" fillId="12" borderId="0" xfId="0" applyFont="1" applyFill="1" applyAlignment="1"/>
    <xf numFmtId="9" fontId="0" fillId="12" borderId="0" xfId="2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0" xfId="0" applyFont="1" applyAlignment="1"/>
    <xf numFmtId="0" fontId="0" fillId="12" borderId="0" xfId="0" applyFont="1" applyFill="1" applyAlignment="1"/>
    <xf numFmtId="0" fontId="0" fillId="12" borderId="0" xfId="0" applyFont="1" applyFill="1" applyAlignment="1">
      <alignment horizontal="center"/>
    </xf>
    <xf numFmtId="0" fontId="26" fillId="0" borderId="0" xfId="0" applyFont="1" applyAlignment="1"/>
    <xf numFmtId="44" fontId="26" fillId="0" borderId="0" xfId="3" applyFont="1" applyAlignment="1"/>
    <xf numFmtId="44" fontId="26" fillId="0" borderId="0" xfId="3" applyFont="1" applyAlignment="1">
      <alignment vertical="center"/>
    </xf>
    <xf numFmtId="164" fontId="26" fillId="0" borderId="0" xfId="3" applyNumberFormat="1" applyFont="1" applyAlignment="1"/>
    <xf numFmtId="164" fontId="0" fillId="12" borderId="0" xfId="0" applyNumberFormat="1" applyFont="1" applyFill="1" applyAlignment="1"/>
    <xf numFmtId="164" fontId="15" fillId="0" borderId="0" xfId="3" applyNumberFormat="1" applyFont="1" applyAlignment="1"/>
    <xf numFmtId="0" fontId="26" fillId="12" borderId="0" xfId="0" applyFont="1" applyFill="1" applyAlignment="1"/>
    <xf numFmtId="164" fontId="26" fillId="12" borderId="0" xfId="3" applyNumberFormat="1" applyFont="1" applyFill="1" applyAlignment="1"/>
    <xf numFmtId="0" fontId="15" fillId="0" borderId="0" xfId="0" applyFont="1" applyAlignment="1"/>
    <xf numFmtId="164" fontId="26" fillId="0" borderId="1" xfId="3" applyNumberFormat="1" applyFont="1" applyBorder="1" applyAlignment="1"/>
    <xf numFmtId="0" fontId="0" fillId="8" borderId="0" xfId="0" applyFont="1" applyFill="1" applyAlignment="1"/>
    <xf numFmtId="0" fontId="15" fillId="8" borderId="0" xfId="0" applyFont="1" applyFill="1" applyAlignment="1"/>
    <xf numFmtId="164" fontId="0" fillId="8" borderId="0" xfId="3" applyNumberFormat="1" applyFont="1" applyFill="1" applyAlignment="1"/>
    <xf numFmtId="10" fontId="0" fillId="8" borderId="0" xfId="2" applyNumberFormat="1" applyFont="1" applyFill="1" applyAlignment="1"/>
    <xf numFmtId="0" fontId="15" fillId="12" borderId="0" xfId="0" applyFont="1" applyFill="1" applyAlignment="1"/>
    <xf numFmtId="0" fontId="27" fillId="0" borderId="0" xfId="0" applyFont="1" applyAlignment="1"/>
    <xf numFmtId="164" fontId="26" fillId="0" borderId="3" xfId="3" applyNumberFormat="1" applyFont="1" applyBorder="1" applyAlignment="1"/>
    <xf numFmtId="164" fontId="26" fillId="12" borderId="3" xfId="3" applyNumberFormat="1" applyFont="1" applyFill="1" applyBorder="1" applyAlignment="1"/>
    <xf numFmtId="164" fontId="26" fillId="12" borderId="12" xfId="3" applyNumberFormat="1" applyFont="1" applyFill="1" applyBorder="1" applyAlignment="1"/>
    <xf numFmtId="164" fontId="26" fillId="12" borderId="13" xfId="3" applyNumberFormat="1" applyFont="1" applyFill="1" applyBorder="1" applyAlignment="1"/>
    <xf numFmtId="164" fontId="26" fillId="0" borderId="6" xfId="3" applyNumberFormat="1" applyFont="1" applyBorder="1" applyAlignment="1"/>
    <xf numFmtId="164" fontId="26" fillId="0" borderId="16" xfId="3" applyNumberFormat="1" applyFont="1" applyBorder="1" applyAlignment="1"/>
    <xf numFmtId="164" fontId="26" fillId="0" borderId="17" xfId="3" applyNumberFormat="1" applyFont="1" applyBorder="1" applyAlignment="1"/>
    <xf numFmtId="164" fontId="26" fillId="0" borderId="18" xfId="3" applyNumberFormat="1" applyFont="1" applyBorder="1" applyAlignment="1"/>
    <xf numFmtId="44" fontId="26" fillId="0" borderId="0" xfId="3" applyFont="1" applyAlignment="1">
      <alignment horizontal="center" vertical="center"/>
    </xf>
    <xf numFmtId="44" fontId="26" fillId="0" borderId="0" xfId="3" applyFont="1" applyAlignment="1">
      <alignment horizontal="center"/>
    </xf>
  </cellXfs>
  <cellStyles count="4">
    <cellStyle name="Moneda" xfId="1" builtinId="4"/>
    <cellStyle name="Moneda 2 10" xfId="3"/>
    <cellStyle name="Normal" xfId="0" builtinId="0"/>
    <cellStyle name="Porcentaje" xfId="2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0</xdr:rowOff>
    </xdr:from>
    <xdr:to>
      <xdr:col>13</xdr:col>
      <xdr:colOff>352425</xdr:colOff>
      <xdr:row>10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3190875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400050</xdr:colOff>
      <xdr:row>0</xdr:row>
      <xdr:rowOff>0</xdr:rowOff>
    </xdr:from>
    <xdr:to>
      <xdr:col>15</xdr:col>
      <xdr:colOff>200025</xdr:colOff>
      <xdr:row>4</xdr:row>
      <xdr:rowOff>80152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0"/>
          <a:ext cx="990600" cy="10231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57150</xdr:rowOff>
    </xdr:from>
    <xdr:to>
      <xdr:col>8</xdr:col>
      <xdr:colOff>323850</xdr:colOff>
      <xdr:row>7</xdr:row>
      <xdr:rowOff>55330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247650"/>
          <a:ext cx="1104900" cy="1141180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1</xdr:row>
      <xdr:rowOff>66675</xdr:rowOff>
    </xdr:from>
    <xdr:to>
      <xdr:col>10</xdr:col>
      <xdr:colOff>28575</xdr:colOff>
      <xdr:row>7</xdr:row>
      <xdr:rowOff>64855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257175"/>
          <a:ext cx="1104900" cy="1141180"/>
        </a:xfrm>
        <a:prstGeom prst="rect">
          <a:avLst/>
        </a:prstGeom>
      </xdr:spPr>
    </xdr:pic>
    <xdr:clientData/>
  </xdr:twoCellAnchor>
  <xdr:twoCellAnchor editAs="oneCell">
    <xdr:from>
      <xdr:col>10</xdr:col>
      <xdr:colOff>390525</xdr:colOff>
      <xdr:row>1</xdr:row>
      <xdr:rowOff>76200</xdr:rowOff>
    </xdr:from>
    <xdr:to>
      <xdr:col>11</xdr:col>
      <xdr:colOff>685800</xdr:colOff>
      <xdr:row>7</xdr:row>
      <xdr:rowOff>74380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266700"/>
          <a:ext cx="1104900" cy="114118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1</xdr:row>
      <xdr:rowOff>85725</xdr:rowOff>
    </xdr:from>
    <xdr:to>
      <xdr:col>13</xdr:col>
      <xdr:colOff>371475</xdr:colOff>
      <xdr:row>7</xdr:row>
      <xdr:rowOff>83905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276225"/>
          <a:ext cx="1104900" cy="1141180"/>
        </a:xfrm>
        <a:prstGeom prst="rect">
          <a:avLst/>
        </a:prstGeom>
      </xdr:spPr>
    </xdr:pic>
    <xdr:clientData/>
  </xdr:twoCellAnchor>
  <xdr:twoCellAnchor editAs="oneCell">
    <xdr:from>
      <xdr:col>13</xdr:col>
      <xdr:colOff>723900</xdr:colOff>
      <xdr:row>1</xdr:row>
      <xdr:rowOff>95250</xdr:rowOff>
    </xdr:from>
    <xdr:to>
      <xdr:col>15</xdr:col>
      <xdr:colOff>209550</xdr:colOff>
      <xdr:row>7</xdr:row>
      <xdr:rowOff>93430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8575" y="285750"/>
          <a:ext cx="1104900" cy="1141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</xdr:row>
      <xdr:rowOff>0</xdr:rowOff>
    </xdr:from>
    <xdr:to>
      <xdr:col>6</xdr:col>
      <xdr:colOff>809625</xdr:colOff>
      <xdr:row>10</xdr:row>
      <xdr:rowOff>98150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190500"/>
          <a:ext cx="1828800" cy="1888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0</xdr:rowOff>
    </xdr:from>
    <xdr:to>
      <xdr:col>2</xdr:col>
      <xdr:colOff>2362200</xdr:colOff>
      <xdr:row>4</xdr:row>
      <xdr:rowOff>350605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0"/>
          <a:ext cx="1104900" cy="11411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5</xdr:col>
      <xdr:colOff>552450</xdr:colOff>
      <xdr:row>15</xdr:row>
      <xdr:rowOff>19050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540" t="7221" r="7096" b="25009"/>
        <a:stretch/>
      </xdr:blipFill>
      <xdr:spPr>
        <a:xfrm>
          <a:off x="85725" y="152400"/>
          <a:ext cx="4276725" cy="272415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0</xdr:row>
      <xdr:rowOff>28575</xdr:rowOff>
    </xdr:from>
    <xdr:to>
      <xdr:col>11</xdr:col>
      <xdr:colOff>371475</xdr:colOff>
      <xdr:row>15</xdr:row>
      <xdr:rowOff>123825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832" t="6665" r="5014" b="18622"/>
        <a:stretch/>
      </xdr:blipFill>
      <xdr:spPr>
        <a:xfrm>
          <a:off x="4381500" y="28575"/>
          <a:ext cx="4371975" cy="2952750"/>
        </a:xfrm>
        <a:prstGeom prst="rect">
          <a:avLst/>
        </a:prstGeom>
      </xdr:spPr>
    </xdr:pic>
    <xdr:clientData/>
  </xdr:twoCellAnchor>
  <xdr:twoCellAnchor editAs="oneCell">
    <xdr:from>
      <xdr:col>11</xdr:col>
      <xdr:colOff>333375</xdr:colOff>
      <xdr:row>0</xdr:row>
      <xdr:rowOff>0</xdr:rowOff>
    </xdr:from>
    <xdr:to>
      <xdr:col>16</xdr:col>
      <xdr:colOff>438150</xdr:colOff>
      <xdr:row>15</xdr:row>
      <xdr:rowOff>95250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8216" t="5942" r="18033" b="22750"/>
        <a:stretch/>
      </xdr:blipFill>
      <xdr:spPr>
        <a:xfrm>
          <a:off x="8715375" y="0"/>
          <a:ext cx="3914775" cy="295275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476250</xdr:colOff>
      <xdr:row>15</xdr:row>
      <xdr:rowOff>171450</xdr:rowOff>
    </xdr:from>
    <xdr:to>
      <xdr:col>9</xdr:col>
      <xdr:colOff>57150</xdr:colOff>
      <xdr:row>21</xdr:row>
      <xdr:rowOff>169630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3028950"/>
          <a:ext cx="1104900" cy="11411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6512d3fc948f80f/Expediente%20Consultoria%20%5e0%20Capacitaciones%20COFISAD%20S.C/Curso%20CONTPAQi%20Contabildiad%20(BASICO)/Material%20Practico%20CONTPAQi%20Contabilidad/Reportes%20Fiscales%20NG%20PF_RIF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s Definitivos I.S.R."/>
      <sheetName val="4. Cedula IETU"/>
      <sheetName val="3.Cédula IVA"/>
      <sheetName val="2.Balance"/>
      <sheetName val="1.Edo Res"/>
      <sheetName val="Asignacion de Digitos"/>
      <sheetName val="Digitos"/>
      <sheetName val="Poliza"/>
      <sheetName val="Datos Sin Formato"/>
      <sheetName val="Reglas"/>
      <sheetName val="Datos Preparados"/>
      <sheetName val="Parametros"/>
      <sheetName val="Validaciones"/>
      <sheetName val="Definiciones"/>
      <sheetName val="Funciones Contables"/>
      <sheetName val="Funciones Bancarias"/>
      <sheetName val="Tablas de ISR"/>
      <sheetName val="ContPAQ"/>
    </sheetNames>
    <sheetDataSet>
      <sheetData sheetId="0" refreshError="1"/>
      <sheetData sheetId="1" refreshError="1">
        <row r="6">
          <cell r="B6">
            <v>5920</v>
          </cell>
        </row>
        <row r="10">
          <cell r="B1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A5">
            <v>0.01</v>
          </cell>
          <cell r="B5">
            <v>578.52</v>
          </cell>
          <cell r="C5">
            <v>0</v>
          </cell>
          <cell r="D5">
            <v>1.9199999999999998E-2</v>
          </cell>
        </row>
        <row r="6">
          <cell r="A6">
            <v>578.53</v>
          </cell>
          <cell r="B6">
            <v>4910.18</v>
          </cell>
          <cell r="C6">
            <v>11.11</v>
          </cell>
          <cell r="D6">
            <v>6.4000000000000001E-2</v>
          </cell>
        </row>
        <row r="7">
          <cell r="A7">
            <v>4910.1899999999996</v>
          </cell>
          <cell r="B7">
            <v>8629.2000000000007</v>
          </cell>
          <cell r="C7">
            <v>288.33</v>
          </cell>
          <cell r="D7">
            <v>0.10879999999999999</v>
          </cell>
        </row>
        <row r="8">
          <cell r="A8">
            <v>8629.2099999999991</v>
          </cell>
          <cell r="B8">
            <v>10031.07</v>
          </cell>
          <cell r="C8">
            <v>692.96</v>
          </cell>
          <cell r="D8">
            <v>0.16</v>
          </cell>
        </row>
        <row r="9">
          <cell r="A9">
            <v>10031.08</v>
          </cell>
          <cell r="B9">
            <v>12009.94</v>
          </cell>
          <cell r="C9">
            <v>917.26</v>
          </cell>
          <cell r="D9">
            <v>0.1792</v>
          </cell>
        </row>
        <row r="10">
          <cell r="A10">
            <v>12009.95</v>
          </cell>
          <cell r="B10">
            <v>24222.31</v>
          </cell>
          <cell r="C10">
            <v>1271.8699999999999</v>
          </cell>
          <cell r="D10">
            <v>0.21360000000000001</v>
          </cell>
        </row>
        <row r="11">
          <cell r="A11">
            <v>24222.32</v>
          </cell>
          <cell r="B11">
            <v>38177.69</v>
          </cell>
          <cell r="C11">
            <v>3880.44</v>
          </cell>
          <cell r="D11">
            <v>0.23519999999999999</v>
          </cell>
        </row>
        <row r="12">
          <cell r="A12">
            <v>38177.699999999997</v>
          </cell>
          <cell r="B12">
            <v>72887.5</v>
          </cell>
          <cell r="C12">
            <v>7162.74</v>
          </cell>
          <cell r="D12">
            <v>0.3</v>
          </cell>
        </row>
        <row r="13">
          <cell r="A13">
            <v>72887.509999999995</v>
          </cell>
          <cell r="B13">
            <v>97183.33</v>
          </cell>
          <cell r="C13">
            <v>17575.689999999999</v>
          </cell>
          <cell r="D13">
            <v>0.32</v>
          </cell>
        </row>
        <row r="14">
          <cell r="A14">
            <v>97183.34</v>
          </cell>
          <cell r="B14">
            <v>291550</v>
          </cell>
          <cell r="C14">
            <v>25350.35</v>
          </cell>
          <cell r="D14">
            <v>0.34</v>
          </cell>
        </row>
        <row r="15">
          <cell r="A15">
            <v>291550.01</v>
          </cell>
          <cell r="B15" t="str">
            <v>En adelante</v>
          </cell>
          <cell r="C15">
            <v>91435.02</v>
          </cell>
          <cell r="D15">
            <v>0.35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69"/>
  <sheetViews>
    <sheetView showGridLines="0" workbookViewId="0">
      <selection activeCell="G11" sqref="G11"/>
    </sheetView>
  </sheetViews>
  <sheetFormatPr baseColWidth="10" defaultRowHeight="15" x14ac:dyDescent="0.25"/>
  <sheetData>
    <row r="5" spans="2:10" ht="23.25" x14ac:dyDescent="0.25">
      <c r="B5" s="83" t="s">
        <v>178</v>
      </c>
      <c r="C5" s="83"/>
      <c r="D5" s="83"/>
      <c r="E5" s="83"/>
      <c r="F5" s="83"/>
      <c r="G5" s="83"/>
      <c r="H5" s="83"/>
      <c r="I5" s="83"/>
      <c r="J5" s="83"/>
    </row>
    <row r="7" spans="2:10" ht="18" x14ac:dyDescent="0.25">
      <c r="D7" s="84" t="s">
        <v>179</v>
      </c>
      <c r="E7" s="84"/>
      <c r="F7" s="84"/>
      <c r="G7" s="84"/>
    </row>
    <row r="9" spans="2:10" ht="17.25" x14ac:dyDescent="0.25">
      <c r="D9" s="85" t="s">
        <v>180</v>
      </c>
      <c r="E9" s="85"/>
      <c r="F9" s="85"/>
      <c r="G9" s="85"/>
    </row>
    <row r="10" spans="2:10" ht="105" x14ac:dyDescent="0.25">
      <c r="D10" s="86" t="s">
        <v>181</v>
      </c>
      <c r="E10" s="86" t="s">
        <v>182</v>
      </c>
      <c r="F10" s="86" t="s">
        <v>183</v>
      </c>
      <c r="G10" s="86" t="s">
        <v>184</v>
      </c>
    </row>
    <row r="11" spans="2:10" x14ac:dyDescent="0.25">
      <c r="D11" s="87">
        <v>0.01</v>
      </c>
      <c r="E11" s="88">
        <v>1492.08</v>
      </c>
      <c r="F11" s="89">
        <v>0</v>
      </c>
      <c r="G11" s="90">
        <v>1.9199999999999998E-2</v>
      </c>
    </row>
    <row r="12" spans="2:10" x14ac:dyDescent="0.25">
      <c r="D12" s="88">
        <v>1492.09</v>
      </c>
      <c r="E12" s="88">
        <v>12664.1</v>
      </c>
      <c r="F12" s="87">
        <v>28.64</v>
      </c>
      <c r="G12" s="90">
        <v>6.4000000000000001E-2</v>
      </c>
    </row>
    <row r="13" spans="2:10" x14ac:dyDescent="0.25">
      <c r="D13" s="88">
        <v>12664.11</v>
      </c>
      <c r="E13" s="88">
        <v>22256.02</v>
      </c>
      <c r="F13" s="87">
        <v>743.66</v>
      </c>
      <c r="G13" s="90">
        <v>0.10880000000000001</v>
      </c>
    </row>
    <row r="14" spans="2:10" x14ac:dyDescent="0.25">
      <c r="D14" s="88">
        <v>22256.03</v>
      </c>
      <c r="E14" s="88">
        <v>25871.64</v>
      </c>
      <c r="F14" s="88">
        <v>1787.26</v>
      </c>
      <c r="G14" s="90">
        <v>0.16</v>
      </c>
    </row>
    <row r="15" spans="2:10" x14ac:dyDescent="0.25">
      <c r="D15" s="88">
        <v>25871.649999999998</v>
      </c>
      <c r="E15" s="88">
        <v>30975.42</v>
      </c>
      <c r="F15" s="88">
        <v>2365.7600000000002</v>
      </c>
      <c r="G15" s="90">
        <v>0.17920000000000003</v>
      </c>
    </row>
    <row r="16" spans="2:10" x14ac:dyDescent="0.25">
      <c r="D16" s="88">
        <v>30975.429999999997</v>
      </c>
      <c r="E16" s="88">
        <v>62472.98</v>
      </c>
      <c r="F16" s="88">
        <v>3280.36</v>
      </c>
      <c r="G16" s="90">
        <v>0.21359999999999998</v>
      </c>
    </row>
    <row r="17" spans="2:10" x14ac:dyDescent="0.25">
      <c r="D17" s="88">
        <v>62472.990000000005</v>
      </c>
      <c r="E17" s="88">
        <v>98466</v>
      </c>
      <c r="F17" s="88">
        <v>10008.24</v>
      </c>
      <c r="G17" s="90">
        <v>0.23519999999999999</v>
      </c>
    </row>
    <row r="18" spans="2:10" x14ac:dyDescent="0.25">
      <c r="D18" s="88">
        <v>98466.01</v>
      </c>
      <c r="E18" s="88">
        <v>187987.8</v>
      </c>
      <c r="F18" s="88">
        <v>18473.78</v>
      </c>
      <c r="G18" s="90">
        <v>0.3</v>
      </c>
    </row>
    <row r="19" spans="2:10" x14ac:dyDescent="0.25">
      <c r="D19" s="88">
        <v>187987.81</v>
      </c>
      <c r="E19" s="88">
        <v>250650.4</v>
      </c>
      <c r="F19" s="88">
        <v>45330.34</v>
      </c>
      <c r="G19" s="90">
        <v>0.32</v>
      </c>
    </row>
    <row r="20" spans="2:10" x14ac:dyDescent="0.25">
      <c r="D20" s="88">
        <v>250650.41</v>
      </c>
      <c r="E20" s="88">
        <v>751951.22</v>
      </c>
      <c r="F20" s="88">
        <v>65382.36</v>
      </c>
      <c r="G20" s="90">
        <v>0.34</v>
      </c>
    </row>
    <row r="21" spans="2:10" x14ac:dyDescent="0.25">
      <c r="D21" s="88">
        <v>751951.23</v>
      </c>
      <c r="E21" s="87" t="s">
        <v>185</v>
      </c>
      <c r="F21" s="88">
        <v>235824.64000000001</v>
      </c>
      <c r="G21" s="90">
        <v>0.35</v>
      </c>
    </row>
    <row r="23" spans="2:10" ht="18" x14ac:dyDescent="0.25">
      <c r="D23" s="84" t="s">
        <v>186</v>
      </c>
      <c r="E23" s="84"/>
      <c r="F23" s="84"/>
      <c r="G23" s="84"/>
    </row>
    <row r="24" spans="2:10" ht="18" x14ac:dyDescent="0.25">
      <c r="D24" s="91"/>
      <c r="E24" s="91"/>
      <c r="F24" s="91"/>
      <c r="G24" s="91"/>
    </row>
    <row r="25" spans="2:10" ht="17.25" x14ac:dyDescent="0.25">
      <c r="B25" s="85" t="s">
        <v>187</v>
      </c>
      <c r="C25" s="85"/>
      <c r="D25" s="85"/>
      <c r="E25" s="85"/>
      <c r="G25" s="85" t="s">
        <v>188</v>
      </c>
      <c r="H25" s="85"/>
      <c r="I25" s="85"/>
      <c r="J25" s="85"/>
    </row>
    <row r="26" spans="2:10" ht="105" x14ac:dyDescent="0.25">
      <c r="B26" s="86" t="s">
        <v>181</v>
      </c>
      <c r="C26" s="86" t="s">
        <v>182</v>
      </c>
      <c r="D26" s="86" t="s">
        <v>183</v>
      </c>
      <c r="E26" s="86" t="s">
        <v>184</v>
      </c>
      <c r="G26" s="86" t="s">
        <v>181</v>
      </c>
      <c r="H26" s="86" t="s">
        <v>182</v>
      </c>
      <c r="I26" s="86" t="s">
        <v>183</v>
      </c>
      <c r="J26" s="86" t="s">
        <v>184</v>
      </c>
    </row>
    <row r="27" spans="2:10" x14ac:dyDescent="0.25">
      <c r="B27" s="87">
        <v>0.01</v>
      </c>
      <c r="C27" s="88">
        <v>1492.08</v>
      </c>
      <c r="D27" s="89">
        <v>0</v>
      </c>
      <c r="E27" s="90">
        <v>1.9199999999999998E-2</v>
      </c>
      <c r="G27" s="87">
        <v>0.01</v>
      </c>
      <c r="H27" s="88">
        <v>2984.16</v>
      </c>
      <c r="I27" s="89">
        <v>0</v>
      </c>
      <c r="J27" s="90">
        <v>1.9199999999999998E-2</v>
      </c>
    </row>
    <row r="28" spans="2:10" x14ac:dyDescent="0.25">
      <c r="B28" s="88">
        <v>1492.09</v>
      </c>
      <c r="C28" s="88">
        <v>12664.1</v>
      </c>
      <c r="D28" s="87">
        <v>28.64</v>
      </c>
      <c r="E28" s="90">
        <v>6.4000000000000001E-2</v>
      </c>
      <c r="G28" s="88">
        <v>2984.17</v>
      </c>
      <c r="H28" s="88">
        <v>25328.2</v>
      </c>
      <c r="I28" s="87">
        <v>57.28</v>
      </c>
      <c r="J28" s="90">
        <v>6.4000000000000001E-2</v>
      </c>
    </row>
    <row r="29" spans="2:10" x14ac:dyDescent="0.25">
      <c r="B29" s="88">
        <v>12664.11</v>
      </c>
      <c r="C29" s="88">
        <v>22256.02</v>
      </c>
      <c r="D29" s="87">
        <v>743.66</v>
      </c>
      <c r="E29" s="90">
        <v>0.10880000000000001</v>
      </c>
      <c r="G29" s="88">
        <v>25328.21</v>
      </c>
      <c r="H29" s="88">
        <v>44512.04</v>
      </c>
      <c r="I29" s="88">
        <v>1487.32</v>
      </c>
      <c r="J29" s="90">
        <v>0.10880000000000001</v>
      </c>
    </row>
    <row r="30" spans="2:10" x14ac:dyDescent="0.25">
      <c r="B30" s="88">
        <v>22256.03</v>
      </c>
      <c r="C30" s="88">
        <v>25871.64</v>
      </c>
      <c r="D30" s="88">
        <v>1787.26</v>
      </c>
      <c r="E30" s="90">
        <v>0.16</v>
      </c>
      <c r="G30" s="88">
        <v>44512.05</v>
      </c>
      <c r="H30" s="88">
        <v>51743.28</v>
      </c>
      <c r="I30" s="88">
        <v>3574.52</v>
      </c>
      <c r="J30" s="90">
        <v>0.16</v>
      </c>
    </row>
    <row r="31" spans="2:10" x14ac:dyDescent="0.25">
      <c r="B31" s="88">
        <v>25871.649999999998</v>
      </c>
      <c r="C31" s="88">
        <v>30975.42</v>
      </c>
      <c r="D31" s="88">
        <v>2365.7600000000002</v>
      </c>
      <c r="E31" s="90">
        <v>0.17920000000000003</v>
      </c>
      <c r="G31" s="88">
        <v>51743.29</v>
      </c>
      <c r="H31" s="88">
        <v>61950.84</v>
      </c>
      <c r="I31" s="88">
        <v>4731.5200000000004</v>
      </c>
      <c r="J31" s="90">
        <v>0.17920000000000003</v>
      </c>
    </row>
    <row r="32" spans="2:10" x14ac:dyDescent="0.25">
      <c r="B32" s="88">
        <v>30975.429999999997</v>
      </c>
      <c r="C32" s="88">
        <v>62472.98</v>
      </c>
      <c r="D32" s="88">
        <v>3280.36</v>
      </c>
      <c r="E32" s="90">
        <v>0.21359999999999998</v>
      </c>
      <c r="G32" s="88">
        <v>61950.85</v>
      </c>
      <c r="H32" s="88">
        <v>124945.96</v>
      </c>
      <c r="I32" s="88">
        <v>6560.72</v>
      </c>
      <c r="J32" s="90">
        <v>0.21359999999999998</v>
      </c>
    </row>
    <row r="33" spans="2:10" x14ac:dyDescent="0.25">
      <c r="B33" s="88">
        <v>62472.990000000005</v>
      </c>
      <c r="C33" s="88">
        <v>98466</v>
      </c>
      <c r="D33" s="88">
        <v>10008.24</v>
      </c>
      <c r="E33" s="90">
        <v>0.23519999999999999</v>
      </c>
      <c r="G33" s="88">
        <v>124945.97</v>
      </c>
      <c r="H33" s="88">
        <v>196932</v>
      </c>
      <c r="I33" s="88">
        <v>20016.48</v>
      </c>
      <c r="J33" s="90">
        <v>0.23519999999999999</v>
      </c>
    </row>
    <row r="34" spans="2:10" x14ac:dyDescent="0.25">
      <c r="B34" s="88">
        <v>98466.01</v>
      </c>
      <c r="C34" s="88">
        <v>187987.8</v>
      </c>
      <c r="D34" s="88">
        <v>18473.78</v>
      </c>
      <c r="E34" s="90">
        <v>0.3</v>
      </c>
      <c r="G34" s="88">
        <v>196932.01</v>
      </c>
      <c r="H34" s="88">
        <v>375975.6</v>
      </c>
      <c r="I34" s="88">
        <v>36947.56</v>
      </c>
      <c r="J34" s="90">
        <v>0.3</v>
      </c>
    </row>
    <row r="35" spans="2:10" x14ac:dyDescent="0.25">
      <c r="B35" s="88">
        <v>187987.81</v>
      </c>
      <c r="C35" s="88">
        <v>250650.4</v>
      </c>
      <c r="D35" s="88">
        <v>45330.34</v>
      </c>
      <c r="E35" s="90">
        <v>0.32</v>
      </c>
      <c r="G35" s="88">
        <v>375975.61</v>
      </c>
      <c r="H35" s="88">
        <v>501300.8</v>
      </c>
      <c r="I35" s="88">
        <v>90660.68</v>
      </c>
      <c r="J35" s="90">
        <v>0.32</v>
      </c>
    </row>
    <row r="36" spans="2:10" x14ac:dyDescent="0.25">
      <c r="B36" s="88">
        <v>250650.41</v>
      </c>
      <c r="C36" s="88">
        <v>751951.22</v>
      </c>
      <c r="D36" s="88">
        <v>65382.36</v>
      </c>
      <c r="E36" s="90">
        <v>0.34</v>
      </c>
      <c r="G36" s="88">
        <v>501300.81</v>
      </c>
      <c r="H36" s="88">
        <v>1503902.44</v>
      </c>
      <c r="I36" s="88">
        <v>130764.72</v>
      </c>
      <c r="J36" s="90">
        <v>0.34</v>
      </c>
    </row>
    <row r="37" spans="2:10" x14ac:dyDescent="0.25">
      <c r="B37" s="88">
        <v>751951.23</v>
      </c>
      <c r="C37" s="87" t="s">
        <v>185</v>
      </c>
      <c r="D37" s="88">
        <v>235824.64000000001</v>
      </c>
      <c r="E37" s="90">
        <v>0.35</v>
      </c>
      <c r="G37" s="88">
        <v>1503902.45</v>
      </c>
      <c r="H37" s="87" t="s">
        <v>185</v>
      </c>
      <c r="I37" s="88">
        <v>471649.28000000003</v>
      </c>
      <c r="J37" s="90">
        <v>0.35</v>
      </c>
    </row>
    <row r="41" spans="2:10" ht="17.25" x14ac:dyDescent="0.25">
      <c r="B41" s="85" t="s">
        <v>189</v>
      </c>
      <c r="C41" s="85"/>
      <c r="D41" s="85"/>
      <c r="E41" s="85"/>
      <c r="G41" s="85" t="s">
        <v>190</v>
      </c>
      <c r="H41" s="85"/>
      <c r="I41" s="85"/>
      <c r="J41" s="85"/>
    </row>
    <row r="42" spans="2:10" ht="105" x14ac:dyDescent="0.25">
      <c r="B42" s="86" t="s">
        <v>181</v>
      </c>
      <c r="C42" s="86" t="s">
        <v>182</v>
      </c>
      <c r="D42" s="86" t="s">
        <v>183</v>
      </c>
      <c r="E42" s="86" t="s">
        <v>184</v>
      </c>
      <c r="G42" s="86" t="s">
        <v>181</v>
      </c>
      <c r="H42" s="86" t="s">
        <v>182</v>
      </c>
      <c r="I42" s="86" t="s">
        <v>183</v>
      </c>
      <c r="J42" s="86" t="s">
        <v>184</v>
      </c>
    </row>
    <row r="43" spans="2:10" x14ac:dyDescent="0.25">
      <c r="B43" s="87">
        <v>0.01</v>
      </c>
      <c r="C43" s="88">
        <v>4476.24</v>
      </c>
      <c r="D43" s="89">
        <v>0</v>
      </c>
      <c r="E43" s="90">
        <v>1.9199999999999998E-2</v>
      </c>
      <c r="G43" s="87">
        <v>0.01</v>
      </c>
      <c r="H43" s="88">
        <v>5968.32</v>
      </c>
      <c r="I43" s="89">
        <v>0</v>
      </c>
      <c r="J43" s="90">
        <v>1.9199999999999998E-2</v>
      </c>
    </row>
    <row r="44" spans="2:10" x14ac:dyDescent="0.25">
      <c r="B44" s="88">
        <v>4476.25</v>
      </c>
      <c r="C44" s="88">
        <v>37992.300000000003</v>
      </c>
      <c r="D44" s="87">
        <v>85.92</v>
      </c>
      <c r="E44" s="90">
        <v>6.4000000000000001E-2</v>
      </c>
      <c r="G44" s="88">
        <v>5968.33</v>
      </c>
      <c r="H44" s="88">
        <v>50656.4</v>
      </c>
      <c r="I44" s="87">
        <v>114.56</v>
      </c>
      <c r="J44" s="90">
        <v>6.4000000000000001E-2</v>
      </c>
    </row>
    <row r="45" spans="2:10" x14ac:dyDescent="0.25">
      <c r="B45" s="88">
        <v>37992.310000000005</v>
      </c>
      <c r="C45" s="88">
        <v>66768.06</v>
      </c>
      <c r="D45" s="88">
        <v>2230.98</v>
      </c>
      <c r="E45" s="90">
        <v>0.10880000000000001</v>
      </c>
      <c r="G45" s="88">
        <v>50656.41</v>
      </c>
      <c r="H45" s="88">
        <v>89024.08</v>
      </c>
      <c r="I45" s="88">
        <v>2974.64</v>
      </c>
      <c r="J45" s="90">
        <v>0.10880000000000001</v>
      </c>
    </row>
    <row r="46" spans="2:10" x14ac:dyDescent="0.25">
      <c r="B46" s="88">
        <v>66768.069999999992</v>
      </c>
      <c r="C46" s="88">
        <v>77614.92</v>
      </c>
      <c r="D46" s="88">
        <v>5361.78</v>
      </c>
      <c r="E46" s="90">
        <v>0.16</v>
      </c>
      <c r="G46" s="88">
        <v>89024.09</v>
      </c>
      <c r="H46" s="88">
        <v>103486.56</v>
      </c>
      <c r="I46" s="88">
        <v>7149.04</v>
      </c>
      <c r="J46" s="90">
        <v>0.16</v>
      </c>
    </row>
    <row r="47" spans="2:10" x14ac:dyDescent="0.25">
      <c r="B47" s="88">
        <v>77614.929999999993</v>
      </c>
      <c r="C47" s="88">
        <v>92926.26</v>
      </c>
      <c r="D47" s="88">
        <v>7097.2800000000007</v>
      </c>
      <c r="E47" s="90">
        <v>0.17920000000000003</v>
      </c>
      <c r="G47" s="88">
        <v>103486.56999999999</v>
      </c>
      <c r="H47" s="88">
        <v>123901.68</v>
      </c>
      <c r="I47" s="88">
        <v>9463.0400000000009</v>
      </c>
      <c r="J47" s="90">
        <v>0.17920000000000003</v>
      </c>
    </row>
    <row r="48" spans="2:10" x14ac:dyDescent="0.25">
      <c r="B48" s="88">
        <v>92926.26999999999</v>
      </c>
      <c r="C48" s="88">
        <v>187418.94</v>
      </c>
      <c r="D48" s="88">
        <v>9841.08</v>
      </c>
      <c r="E48" s="90">
        <v>0.21359999999999998</v>
      </c>
      <c r="G48" s="88">
        <v>123901.68999999999</v>
      </c>
      <c r="H48" s="88">
        <v>249891.92</v>
      </c>
      <c r="I48" s="88">
        <v>13121.44</v>
      </c>
      <c r="J48" s="90">
        <v>0.21359999999999998</v>
      </c>
    </row>
    <row r="49" spans="2:10" x14ac:dyDescent="0.25">
      <c r="B49" s="88">
        <v>187418.95</v>
      </c>
      <c r="C49" s="88">
        <v>295398</v>
      </c>
      <c r="D49" s="88">
        <v>30024.720000000001</v>
      </c>
      <c r="E49" s="90">
        <v>0.23519999999999999</v>
      </c>
      <c r="G49" s="88">
        <v>249891.93000000002</v>
      </c>
      <c r="H49" s="88">
        <v>393864</v>
      </c>
      <c r="I49" s="88">
        <v>40032.959999999999</v>
      </c>
      <c r="J49" s="90">
        <v>0.23519999999999999</v>
      </c>
    </row>
    <row r="50" spans="2:10" x14ac:dyDescent="0.25">
      <c r="B50" s="88">
        <v>295398.01</v>
      </c>
      <c r="C50" s="88">
        <v>563963.39999999991</v>
      </c>
      <c r="D50" s="88">
        <v>55421.34</v>
      </c>
      <c r="E50" s="90">
        <v>0.3</v>
      </c>
      <c r="G50" s="88">
        <v>393864.01</v>
      </c>
      <c r="H50" s="88">
        <v>751951.2</v>
      </c>
      <c r="I50" s="88">
        <v>73895.12</v>
      </c>
      <c r="J50" s="90">
        <v>0.3</v>
      </c>
    </row>
    <row r="51" spans="2:10" x14ac:dyDescent="0.25">
      <c r="B51" s="88">
        <v>563963.40999999992</v>
      </c>
      <c r="C51" s="88">
        <v>751951.2</v>
      </c>
      <c r="D51" s="88">
        <v>135991.01999999999</v>
      </c>
      <c r="E51" s="90">
        <v>0.32</v>
      </c>
      <c r="G51" s="88">
        <v>751951.21</v>
      </c>
      <c r="H51" s="88">
        <v>1002601.6</v>
      </c>
      <c r="I51" s="88">
        <v>181321.36</v>
      </c>
      <c r="J51" s="90">
        <v>0.32</v>
      </c>
    </row>
    <row r="52" spans="2:10" x14ac:dyDescent="0.25">
      <c r="B52" s="88">
        <v>751951.21</v>
      </c>
      <c r="C52" s="88">
        <v>2255853.66</v>
      </c>
      <c r="D52" s="88">
        <v>196147.08000000002</v>
      </c>
      <c r="E52" s="90">
        <v>0.34</v>
      </c>
      <c r="G52" s="88">
        <v>1002601.61</v>
      </c>
      <c r="H52" s="88">
        <v>3007804.88</v>
      </c>
      <c r="I52" s="88">
        <v>261529.44</v>
      </c>
      <c r="J52" s="90">
        <v>0.34</v>
      </c>
    </row>
    <row r="53" spans="2:10" x14ac:dyDescent="0.25">
      <c r="B53" s="88">
        <v>2255853.67</v>
      </c>
      <c r="C53" s="87" t="s">
        <v>185</v>
      </c>
      <c r="D53" s="88">
        <v>707473.92000000004</v>
      </c>
      <c r="E53" s="90">
        <v>0.35</v>
      </c>
      <c r="G53" s="88">
        <v>3007804.8899999997</v>
      </c>
      <c r="H53" s="87" t="s">
        <v>185</v>
      </c>
      <c r="I53" s="88">
        <v>943298.56000000006</v>
      </c>
      <c r="J53" s="90">
        <v>0.35</v>
      </c>
    </row>
    <row r="57" spans="2:10" ht="17.25" x14ac:dyDescent="0.25">
      <c r="B57" s="85" t="s">
        <v>191</v>
      </c>
      <c r="C57" s="85"/>
      <c r="D57" s="85"/>
      <c r="E57" s="85"/>
      <c r="G57" s="85" t="s">
        <v>192</v>
      </c>
      <c r="H57" s="85"/>
      <c r="I57" s="85"/>
      <c r="J57" s="85"/>
    </row>
    <row r="58" spans="2:10" ht="105" x14ac:dyDescent="0.25">
      <c r="B58" s="86" t="s">
        <v>181</v>
      </c>
      <c r="C58" s="86" t="s">
        <v>182</v>
      </c>
      <c r="D58" s="86" t="s">
        <v>183</v>
      </c>
      <c r="E58" s="86" t="s">
        <v>184</v>
      </c>
      <c r="G58" s="86" t="s">
        <v>181</v>
      </c>
      <c r="H58" s="86" t="s">
        <v>182</v>
      </c>
      <c r="I58" s="86" t="s">
        <v>183</v>
      </c>
      <c r="J58" s="86" t="s">
        <v>184</v>
      </c>
    </row>
    <row r="59" spans="2:10" x14ac:dyDescent="0.25">
      <c r="B59" s="87">
        <v>0.01</v>
      </c>
      <c r="C59" s="88">
        <v>7460.4</v>
      </c>
      <c r="D59" s="89">
        <v>0</v>
      </c>
      <c r="E59" s="90">
        <v>1.9199999999999998E-2</v>
      </c>
      <c r="G59" s="87">
        <v>0.01</v>
      </c>
      <c r="H59" s="88">
        <v>8952.49</v>
      </c>
      <c r="I59" s="89">
        <v>0</v>
      </c>
      <c r="J59" s="90">
        <v>1.9199999999999998E-2</v>
      </c>
    </row>
    <row r="60" spans="2:10" x14ac:dyDescent="0.25">
      <c r="B60" s="88">
        <v>7460.41</v>
      </c>
      <c r="C60" s="88">
        <v>63320.5</v>
      </c>
      <c r="D60" s="87">
        <v>143.19999999999999</v>
      </c>
      <c r="E60" s="90">
        <v>6.4000000000000001E-2</v>
      </c>
      <c r="G60" s="88">
        <v>8952.5</v>
      </c>
      <c r="H60" s="88">
        <v>75984.600000000006</v>
      </c>
      <c r="I60" s="87">
        <v>171.88</v>
      </c>
      <c r="J60" s="90">
        <v>6.4000000000000001E-2</v>
      </c>
    </row>
    <row r="61" spans="2:10" x14ac:dyDescent="0.25">
      <c r="B61" s="88">
        <v>63320.51</v>
      </c>
      <c r="C61" s="88">
        <v>111280.1</v>
      </c>
      <c r="D61" s="88">
        <v>3718.2999999999997</v>
      </c>
      <c r="E61" s="90">
        <v>0.10880000000000001</v>
      </c>
      <c r="G61" s="88">
        <v>75984.61</v>
      </c>
      <c r="H61" s="88">
        <v>133536.12</v>
      </c>
      <c r="I61" s="88">
        <v>4461.9399999999996</v>
      </c>
      <c r="J61" s="90">
        <v>0.10880000000000001</v>
      </c>
    </row>
    <row r="62" spans="2:10" x14ac:dyDescent="0.25">
      <c r="B62" s="88">
        <v>111280.11</v>
      </c>
      <c r="C62" s="88">
        <v>129358.2</v>
      </c>
      <c r="D62" s="88">
        <v>8936.2999999999993</v>
      </c>
      <c r="E62" s="90">
        <v>0.16</v>
      </c>
      <c r="G62" s="88">
        <v>133536.13</v>
      </c>
      <c r="H62" s="88">
        <v>155229.84</v>
      </c>
      <c r="I62" s="88">
        <v>10723.55</v>
      </c>
      <c r="J62" s="90">
        <v>0.16</v>
      </c>
    </row>
    <row r="63" spans="2:10" x14ac:dyDescent="0.25">
      <c r="B63" s="88">
        <v>129358.20999999999</v>
      </c>
      <c r="C63" s="88">
        <v>154877.09999999998</v>
      </c>
      <c r="D63" s="88">
        <v>11828.800000000001</v>
      </c>
      <c r="E63" s="90">
        <v>0.17920000000000003</v>
      </c>
      <c r="G63" s="88">
        <v>155229.85</v>
      </c>
      <c r="H63" s="88">
        <v>185852.52</v>
      </c>
      <c r="I63" s="88">
        <v>14194.54</v>
      </c>
      <c r="J63" s="90">
        <v>0.17920000000000003</v>
      </c>
    </row>
    <row r="64" spans="2:10" x14ac:dyDescent="0.25">
      <c r="B64" s="88">
        <v>154877.10999999999</v>
      </c>
      <c r="C64" s="88">
        <v>312364.90000000002</v>
      </c>
      <c r="D64" s="88">
        <v>16401.8</v>
      </c>
      <c r="E64" s="90">
        <v>0.21359999999999998</v>
      </c>
      <c r="G64" s="88">
        <v>185852.53</v>
      </c>
      <c r="H64" s="88">
        <v>374837.88</v>
      </c>
      <c r="I64" s="88">
        <v>19682.13</v>
      </c>
      <c r="J64" s="90">
        <v>0.21359999999999998</v>
      </c>
    </row>
    <row r="65" spans="2:10" x14ac:dyDescent="0.25">
      <c r="B65" s="88">
        <v>312364.91000000003</v>
      </c>
      <c r="C65" s="88">
        <v>492330</v>
      </c>
      <c r="D65" s="88">
        <v>50041.2</v>
      </c>
      <c r="E65" s="90">
        <v>0.23519999999999999</v>
      </c>
      <c r="G65" s="88">
        <v>374837.89</v>
      </c>
      <c r="H65" s="88">
        <v>590796</v>
      </c>
      <c r="I65" s="88">
        <v>60049.4</v>
      </c>
      <c r="J65" s="90">
        <v>0.23519999999999999</v>
      </c>
    </row>
    <row r="66" spans="2:10" x14ac:dyDescent="0.25">
      <c r="B66" s="88">
        <v>492330.01</v>
      </c>
      <c r="C66" s="88">
        <v>939939</v>
      </c>
      <c r="D66" s="88">
        <v>92368.9</v>
      </c>
      <c r="E66" s="90">
        <v>0.3</v>
      </c>
      <c r="G66" s="88">
        <v>590796.01</v>
      </c>
      <c r="H66" s="88">
        <v>1127926.7999999998</v>
      </c>
      <c r="I66" s="88">
        <v>110842.74</v>
      </c>
      <c r="J66" s="90">
        <v>0.3</v>
      </c>
    </row>
    <row r="67" spans="2:10" x14ac:dyDescent="0.25">
      <c r="B67" s="88">
        <v>939939.01</v>
      </c>
      <c r="C67" s="88">
        <v>1253252</v>
      </c>
      <c r="D67" s="88">
        <v>226651.69999999998</v>
      </c>
      <c r="E67" s="90">
        <v>0.32</v>
      </c>
      <c r="G67" s="88">
        <v>1127926.8099999998</v>
      </c>
      <c r="H67" s="88">
        <v>1503902.4</v>
      </c>
      <c r="I67" s="88">
        <v>271981.99</v>
      </c>
      <c r="J67" s="90">
        <v>0.32</v>
      </c>
    </row>
    <row r="68" spans="2:10" x14ac:dyDescent="0.25">
      <c r="B68" s="88">
        <v>1253252.01</v>
      </c>
      <c r="C68" s="88">
        <v>3759756.0999999996</v>
      </c>
      <c r="D68" s="88">
        <v>326911.8</v>
      </c>
      <c r="E68" s="90">
        <v>0.34</v>
      </c>
      <c r="G68" s="88">
        <v>1503902.41</v>
      </c>
      <c r="H68" s="88">
        <v>4511707.32</v>
      </c>
      <c r="I68" s="88">
        <v>392294.17</v>
      </c>
      <c r="J68" s="90">
        <v>0.34</v>
      </c>
    </row>
    <row r="69" spans="2:10" x14ac:dyDescent="0.25">
      <c r="B69" s="88">
        <v>3759756.1099999994</v>
      </c>
      <c r="C69" s="87" t="s">
        <v>185</v>
      </c>
      <c r="D69" s="88">
        <v>1179123.2000000002</v>
      </c>
      <c r="E69" s="90">
        <v>0.35</v>
      </c>
      <c r="G69" s="88">
        <v>4511707.33</v>
      </c>
      <c r="H69" s="87" t="s">
        <v>185</v>
      </c>
      <c r="I69" s="88">
        <v>1414947.85</v>
      </c>
      <c r="J69" s="90">
        <v>0.35</v>
      </c>
    </row>
  </sheetData>
  <mergeCells count="10">
    <mergeCell ref="B41:E41"/>
    <mergeCell ref="G41:J41"/>
    <mergeCell ref="B57:E57"/>
    <mergeCell ref="G57:J57"/>
    <mergeCell ref="B5:J5"/>
    <mergeCell ref="D7:G7"/>
    <mergeCell ref="D9:G9"/>
    <mergeCell ref="D23:G23"/>
    <mergeCell ref="B25:E25"/>
    <mergeCell ref="G25:J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6"/>
  <sheetViews>
    <sheetView showGridLines="0" workbookViewId="0">
      <selection activeCell="Q5" sqref="Q5"/>
    </sheetView>
  </sheetViews>
  <sheetFormatPr baseColWidth="10" defaultRowHeight="15" x14ac:dyDescent="0.25"/>
  <cols>
    <col min="1" max="1" width="2.85546875" style="93" customWidth="1"/>
    <col min="2" max="2" width="39.5703125" style="93" bestFit="1" customWidth="1"/>
    <col min="3" max="3" width="0.42578125" style="93" hidden="1" customWidth="1"/>
    <col min="4" max="4" width="2.7109375" style="93" hidden="1" customWidth="1"/>
    <col min="5" max="5" width="17.7109375" style="93" customWidth="1"/>
    <col min="6" max="6" width="17.85546875" style="93" hidden="1" customWidth="1"/>
    <col min="7" max="7" width="17.85546875" style="93" customWidth="1"/>
    <col min="8" max="8" width="17.85546875" style="93" hidden="1" customWidth="1"/>
    <col min="9" max="9" width="17.7109375" style="93" customWidth="1"/>
    <col min="10" max="10" width="17.85546875" style="93" hidden="1" customWidth="1"/>
    <col min="11" max="11" width="17.7109375" style="93" customWidth="1"/>
    <col min="12" max="12" width="17.85546875" style="93" hidden="1" customWidth="1"/>
    <col min="13" max="13" width="17.85546875" style="93" customWidth="1"/>
    <col min="14" max="14" width="17.85546875" style="93" hidden="1" customWidth="1"/>
    <col min="15" max="15" width="17.85546875" style="93" customWidth="1"/>
    <col min="16" max="18" width="11.42578125" style="97"/>
    <col min="19" max="19" width="0" style="97" hidden="1" customWidth="1"/>
    <col min="20" max="20" width="23.42578125" style="97" hidden="1" customWidth="1"/>
    <col min="21" max="42" width="11.42578125" style="97"/>
    <col min="43" max="257" width="11.42578125" style="93"/>
    <col min="258" max="258" width="39.5703125" style="93" bestFit="1" customWidth="1"/>
    <col min="259" max="260" width="0" style="93" hidden="1" customWidth="1"/>
    <col min="261" max="261" width="14.28515625" style="93" customWidth="1"/>
    <col min="262" max="262" width="0" style="93" hidden="1" customWidth="1"/>
    <col min="263" max="263" width="14.28515625" style="93" customWidth="1"/>
    <col min="264" max="264" width="0" style="93" hidden="1" customWidth="1"/>
    <col min="265" max="265" width="14.28515625" style="93" customWidth="1"/>
    <col min="266" max="266" width="0" style="93" hidden="1" customWidth="1"/>
    <col min="267" max="267" width="14.28515625" style="93" customWidth="1"/>
    <col min="268" max="268" width="0" style="93" hidden="1" customWidth="1"/>
    <col min="269" max="269" width="14.28515625" style="93" customWidth="1"/>
    <col min="270" max="270" width="0" style="93" hidden="1" customWidth="1"/>
    <col min="271" max="271" width="14.28515625" style="93" customWidth="1"/>
    <col min="272" max="513" width="11.42578125" style="93"/>
    <col min="514" max="514" width="39.5703125" style="93" bestFit="1" customWidth="1"/>
    <col min="515" max="516" width="0" style="93" hidden="1" customWidth="1"/>
    <col min="517" max="517" width="14.28515625" style="93" customWidth="1"/>
    <col min="518" max="518" width="0" style="93" hidden="1" customWidth="1"/>
    <col min="519" max="519" width="14.28515625" style="93" customWidth="1"/>
    <col min="520" max="520" width="0" style="93" hidden="1" customWidth="1"/>
    <col min="521" max="521" width="14.28515625" style="93" customWidth="1"/>
    <col min="522" max="522" width="0" style="93" hidden="1" customWidth="1"/>
    <col min="523" max="523" width="14.28515625" style="93" customWidth="1"/>
    <col min="524" max="524" width="0" style="93" hidden="1" customWidth="1"/>
    <col min="525" max="525" width="14.28515625" style="93" customWidth="1"/>
    <col min="526" max="526" width="0" style="93" hidden="1" customWidth="1"/>
    <col min="527" max="527" width="14.28515625" style="93" customWidth="1"/>
    <col min="528" max="769" width="11.42578125" style="93"/>
    <col min="770" max="770" width="39.5703125" style="93" bestFit="1" customWidth="1"/>
    <col min="771" max="772" width="0" style="93" hidden="1" customWidth="1"/>
    <col min="773" max="773" width="14.28515625" style="93" customWidth="1"/>
    <col min="774" max="774" width="0" style="93" hidden="1" customWidth="1"/>
    <col min="775" max="775" width="14.28515625" style="93" customWidth="1"/>
    <col min="776" max="776" width="0" style="93" hidden="1" customWidth="1"/>
    <col min="777" max="777" width="14.28515625" style="93" customWidth="1"/>
    <col min="778" max="778" width="0" style="93" hidden="1" customWidth="1"/>
    <col min="779" max="779" width="14.28515625" style="93" customWidth="1"/>
    <col min="780" max="780" width="0" style="93" hidden="1" customWidth="1"/>
    <col min="781" max="781" width="14.28515625" style="93" customWidth="1"/>
    <col min="782" max="782" width="0" style="93" hidden="1" customWidth="1"/>
    <col min="783" max="783" width="14.28515625" style="93" customWidth="1"/>
    <col min="784" max="1025" width="11.42578125" style="93"/>
    <col min="1026" max="1026" width="39.5703125" style="93" bestFit="1" customWidth="1"/>
    <col min="1027" max="1028" width="0" style="93" hidden="1" customWidth="1"/>
    <col min="1029" max="1029" width="14.28515625" style="93" customWidth="1"/>
    <col min="1030" max="1030" width="0" style="93" hidden="1" customWidth="1"/>
    <col min="1031" max="1031" width="14.28515625" style="93" customWidth="1"/>
    <col min="1032" max="1032" width="0" style="93" hidden="1" customWidth="1"/>
    <col min="1033" max="1033" width="14.28515625" style="93" customWidth="1"/>
    <col min="1034" max="1034" width="0" style="93" hidden="1" customWidth="1"/>
    <col min="1035" max="1035" width="14.28515625" style="93" customWidth="1"/>
    <col min="1036" max="1036" width="0" style="93" hidden="1" customWidth="1"/>
    <col min="1037" max="1037" width="14.28515625" style="93" customWidth="1"/>
    <col min="1038" max="1038" width="0" style="93" hidden="1" customWidth="1"/>
    <col min="1039" max="1039" width="14.28515625" style="93" customWidth="1"/>
    <col min="1040" max="1281" width="11.42578125" style="93"/>
    <col min="1282" max="1282" width="39.5703125" style="93" bestFit="1" customWidth="1"/>
    <col min="1283" max="1284" width="0" style="93" hidden="1" customWidth="1"/>
    <col min="1285" max="1285" width="14.28515625" style="93" customWidth="1"/>
    <col min="1286" max="1286" width="0" style="93" hidden="1" customWidth="1"/>
    <col min="1287" max="1287" width="14.28515625" style="93" customWidth="1"/>
    <col min="1288" max="1288" width="0" style="93" hidden="1" customWidth="1"/>
    <col min="1289" max="1289" width="14.28515625" style="93" customWidth="1"/>
    <col min="1290" max="1290" width="0" style="93" hidden="1" customWidth="1"/>
    <col min="1291" max="1291" width="14.28515625" style="93" customWidth="1"/>
    <col min="1292" max="1292" width="0" style="93" hidden="1" customWidth="1"/>
    <col min="1293" max="1293" width="14.28515625" style="93" customWidth="1"/>
    <col min="1294" max="1294" width="0" style="93" hidden="1" customWidth="1"/>
    <col min="1295" max="1295" width="14.28515625" style="93" customWidth="1"/>
    <col min="1296" max="1537" width="11.42578125" style="93"/>
    <col min="1538" max="1538" width="39.5703125" style="93" bestFit="1" customWidth="1"/>
    <col min="1539" max="1540" width="0" style="93" hidden="1" customWidth="1"/>
    <col min="1541" max="1541" width="14.28515625" style="93" customWidth="1"/>
    <col min="1542" max="1542" width="0" style="93" hidden="1" customWidth="1"/>
    <col min="1543" max="1543" width="14.28515625" style="93" customWidth="1"/>
    <col min="1544" max="1544" width="0" style="93" hidden="1" customWidth="1"/>
    <col min="1545" max="1545" width="14.28515625" style="93" customWidth="1"/>
    <col min="1546" max="1546" width="0" style="93" hidden="1" customWidth="1"/>
    <col min="1547" max="1547" width="14.28515625" style="93" customWidth="1"/>
    <col min="1548" max="1548" width="0" style="93" hidden="1" customWidth="1"/>
    <col min="1549" max="1549" width="14.28515625" style="93" customWidth="1"/>
    <col min="1550" max="1550" width="0" style="93" hidden="1" customWidth="1"/>
    <col min="1551" max="1551" width="14.28515625" style="93" customWidth="1"/>
    <col min="1552" max="1793" width="11.42578125" style="93"/>
    <col min="1794" max="1794" width="39.5703125" style="93" bestFit="1" customWidth="1"/>
    <col min="1795" max="1796" width="0" style="93" hidden="1" customWidth="1"/>
    <col min="1797" max="1797" width="14.28515625" style="93" customWidth="1"/>
    <col min="1798" max="1798" width="0" style="93" hidden="1" customWidth="1"/>
    <col min="1799" max="1799" width="14.28515625" style="93" customWidth="1"/>
    <col min="1800" max="1800" width="0" style="93" hidden="1" customWidth="1"/>
    <col min="1801" max="1801" width="14.28515625" style="93" customWidth="1"/>
    <col min="1802" max="1802" width="0" style="93" hidden="1" customWidth="1"/>
    <col min="1803" max="1803" width="14.28515625" style="93" customWidth="1"/>
    <col min="1804" max="1804" width="0" style="93" hidden="1" customWidth="1"/>
    <col min="1805" max="1805" width="14.28515625" style="93" customWidth="1"/>
    <col min="1806" max="1806" width="0" style="93" hidden="1" customWidth="1"/>
    <col min="1807" max="1807" width="14.28515625" style="93" customWidth="1"/>
    <col min="1808" max="2049" width="11.42578125" style="93"/>
    <col min="2050" max="2050" width="39.5703125" style="93" bestFit="1" customWidth="1"/>
    <col min="2051" max="2052" width="0" style="93" hidden="1" customWidth="1"/>
    <col min="2053" max="2053" width="14.28515625" style="93" customWidth="1"/>
    <col min="2054" max="2054" width="0" style="93" hidden="1" customWidth="1"/>
    <col min="2055" max="2055" width="14.28515625" style="93" customWidth="1"/>
    <col min="2056" max="2056" width="0" style="93" hidden="1" customWidth="1"/>
    <col min="2057" max="2057" width="14.28515625" style="93" customWidth="1"/>
    <col min="2058" max="2058" width="0" style="93" hidden="1" customWidth="1"/>
    <col min="2059" max="2059" width="14.28515625" style="93" customWidth="1"/>
    <col min="2060" max="2060" width="0" style="93" hidden="1" customWidth="1"/>
    <col min="2061" max="2061" width="14.28515625" style="93" customWidth="1"/>
    <col min="2062" max="2062" width="0" style="93" hidden="1" customWidth="1"/>
    <col min="2063" max="2063" width="14.28515625" style="93" customWidth="1"/>
    <col min="2064" max="2305" width="11.42578125" style="93"/>
    <col min="2306" max="2306" width="39.5703125" style="93" bestFit="1" customWidth="1"/>
    <col min="2307" max="2308" width="0" style="93" hidden="1" customWidth="1"/>
    <col min="2309" max="2309" width="14.28515625" style="93" customWidth="1"/>
    <col min="2310" max="2310" width="0" style="93" hidden="1" customWidth="1"/>
    <col min="2311" max="2311" width="14.28515625" style="93" customWidth="1"/>
    <col min="2312" max="2312" width="0" style="93" hidden="1" customWidth="1"/>
    <col min="2313" max="2313" width="14.28515625" style="93" customWidth="1"/>
    <col min="2314" max="2314" width="0" style="93" hidden="1" customWidth="1"/>
    <col min="2315" max="2315" width="14.28515625" style="93" customWidth="1"/>
    <col min="2316" max="2316" width="0" style="93" hidden="1" customWidth="1"/>
    <col min="2317" max="2317" width="14.28515625" style="93" customWidth="1"/>
    <col min="2318" max="2318" width="0" style="93" hidden="1" customWidth="1"/>
    <col min="2319" max="2319" width="14.28515625" style="93" customWidth="1"/>
    <col min="2320" max="2561" width="11.42578125" style="93"/>
    <col min="2562" max="2562" width="39.5703125" style="93" bestFit="1" customWidth="1"/>
    <col min="2563" max="2564" width="0" style="93" hidden="1" customWidth="1"/>
    <col min="2565" max="2565" width="14.28515625" style="93" customWidth="1"/>
    <col min="2566" max="2566" width="0" style="93" hidden="1" customWidth="1"/>
    <col min="2567" max="2567" width="14.28515625" style="93" customWidth="1"/>
    <col min="2568" max="2568" width="0" style="93" hidden="1" customWidth="1"/>
    <col min="2569" max="2569" width="14.28515625" style="93" customWidth="1"/>
    <col min="2570" max="2570" width="0" style="93" hidden="1" customWidth="1"/>
    <col min="2571" max="2571" width="14.28515625" style="93" customWidth="1"/>
    <col min="2572" max="2572" width="0" style="93" hidden="1" customWidth="1"/>
    <col min="2573" max="2573" width="14.28515625" style="93" customWidth="1"/>
    <col min="2574" max="2574" width="0" style="93" hidden="1" customWidth="1"/>
    <col min="2575" max="2575" width="14.28515625" style="93" customWidth="1"/>
    <col min="2576" max="2817" width="11.42578125" style="93"/>
    <col min="2818" max="2818" width="39.5703125" style="93" bestFit="1" customWidth="1"/>
    <col min="2819" max="2820" width="0" style="93" hidden="1" customWidth="1"/>
    <col min="2821" max="2821" width="14.28515625" style="93" customWidth="1"/>
    <col min="2822" max="2822" width="0" style="93" hidden="1" customWidth="1"/>
    <col min="2823" max="2823" width="14.28515625" style="93" customWidth="1"/>
    <col min="2824" max="2824" width="0" style="93" hidden="1" customWidth="1"/>
    <col min="2825" max="2825" width="14.28515625" style="93" customWidth="1"/>
    <col min="2826" max="2826" width="0" style="93" hidden="1" customWidth="1"/>
    <col min="2827" max="2827" width="14.28515625" style="93" customWidth="1"/>
    <col min="2828" max="2828" width="0" style="93" hidden="1" customWidth="1"/>
    <col min="2829" max="2829" width="14.28515625" style="93" customWidth="1"/>
    <col min="2830" max="2830" width="0" style="93" hidden="1" customWidth="1"/>
    <col min="2831" max="2831" width="14.28515625" style="93" customWidth="1"/>
    <col min="2832" max="3073" width="11.42578125" style="93"/>
    <col min="3074" max="3074" width="39.5703125" style="93" bestFit="1" customWidth="1"/>
    <col min="3075" max="3076" width="0" style="93" hidden="1" customWidth="1"/>
    <col min="3077" max="3077" width="14.28515625" style="93" customWidth="1"/>
    <col min="3078" max="3078" width="0" style="93" hidden="1" customWidth="1"/>
    <col min="3079" max="3079" width="14.28515625" style="93" customWidth="1"/>
    <col min="3080" max="3080" width="0" style="93" hidden="1" customWidth="1"/>
    <col min="3081" max="3081" width="14.28515625" style="93" customWidth="1"/>
    <col min="3082" max="3082" width="0" style="93" hidden="1" customWidth="1"/>
    <col min="3083" max="3083" width="14.28515625" style="93" customWidth="1"/>
    <col min="3084" max="3084" width="0" style="93" hidden="1" customWidth="1"/>
    <col min="3085" max="3085" width="14.28515625" style="93" customWidth="1"/>
    <col min="3086" max="3086" width="0" style="93" hidden="1" customWidth="1"/>
    <col min="3087" max="3087" width="14.28515625" style="93" customWidth="1"/>
    <col min="3088" max="3329" width="11.42578125" style="93"/>
    <col min="3330" max="3330" width="39.5703125" style="93" bestFit="1" customWidth="1"/>
    <col min="3331" max="3332" width="0" style="93" hidden="1" customWidth="1"/>
    <col min="3333" max="3333" width="14.28515625" style="93" customWidth="1"/>
    <col min="3334" max="3334" width="0" style="93" hidden="1" customWidth="1"/>
    <col min="3335" max="3335" width="14.28515625" style="93" customWidth="1"/>
    <col min="3336" max="3336" width="0" style="93" hidden="1" customWidth="1"/>
    <col min="3337" max="3337" width="14.28515625" style="93" customWidth="1"/>
    <col min="3338" max="3338" width="0" style="93" hidden="1" customWidth="1"/>
    <col min="3339" max="3339" width="14.28515625" style="93" customWidth="1"/>
    <col min="3340" max="3340" width="0" style="93" hidden="1" customWidth="1"/>
    <col min="3341" max="3341" width="14.28515625" style="93" customWidth="1"/>
    <col min="3342" max="3342" width="0" style="93" hidden="1" customWidth="1"/>
    <col min="3343" max="3343" width="14.28515625" style="93" customWidth="1"/>
    <col min="3344" max="3585" width="11.42578125" style="93"/>
    <col min="3586" max="3586" width="39.5703125" style="93" bestFit="1" customWidth="1"/>
    <col min="3587" max="3588" width="0" style="93" hidden="1" customWidth="1"/>
    <col min="3589" max="3589" width="14.28515625" style="93" customWidth="1"/>
    <col min="3590" max="3590" width="0" style="93" hidden="1" customWidth="1"/>
    <col min="3591" max="3591" width="14.28515625" style="93" customWidth="1"/>
    <col min="3592" max="3592" width="0" style="93" hidden="1" customWidth="1"/>
    <col min="3593" max="3593" width="14.28515625" style="93" customWidth="1"/>
    <col min="3594" max="3594" width="0" style="93" hidden="1" customWidth="1"/>
    <col min="3595" max="3595" width="14.28515625" style="93" customWidth="1"/>
    <col min="3596" max="3596" width="0" style="93" hidden="1" customWidth="1"/>
    <col min="3597" max="3597" width="14.28515625" style="93" customWidth="1"/>
    <col min="3598" max="3598" width="0" style="93" hidden="1" customWidth="1"/>
    <col min="3599" max="3599" width="14.28515625" style="93" customWidth="1"/>
    <col min="3600" max="3841" width="11.42578125" style="93"/>
    <col min="3842" max="3842" width="39.5703125" style="93" bestFit="1" customWidth="1"/>
    <col min="3843" max="3844" width="0" style="93" hidden="1" customWidth="1"/>
    <col min="3845" max="3845" width="14.28515625" style="93" customWidth="1"/>
    <col min="3846" max="3846" width="0" style="93" hidden="1" customWidth="1"/>
    <col min="3847" max="3847" width="14.28515625" style="93" customWidth="1"/>
    <col min="3848" max="3848" width="0" style="93" hidden="1" customWidth="1"/>
    <col min="3849" max="3849" width="14.28515625" style="93" customWidth="1"/>
    <col min="3850" max="3850" width="0" style="93" hidden="1" customWidth="1"/>
    <col min="3851" max="3851" width="14.28515625" style="93" customWidth="1"/>
    <col min="3852" max="3852" width="0" style="93" hidden="1" customWidth="1"/>
    <col min="3853" max="3853" width="14.28515625" style="93" customWidth="1"/>
    <col min="3854" max="3854" width="0" style="93" hidden="1" customWidth="1"/>
    <col min="3855" max="3855" width="14.28515625" style="93" customWidth="1"/>
    <col min="3856" max="4097" width="11.42578125" style="93"/>
    <col min="4098" max="4098" width="39.5703125" style="93" bestFit="1" customWidth="1"/>
    <col min="4099" max="4100" width="0" style="93" hidden="1" customWidth="1"/>
    <col min="4101" max="4101" width="14.28515625" style="93" customWidth="1"/>
    <col min="4102" max="4102" width="0" style="93" hidden="1" customWidth="1"/>
    <col min="4103" max="4103" width="14.28515625" style="93" customWidth="1"/>
    <col min="4104" max="4104" width="0" style="93" hidden="1" customWidth="1"/>
    <col min="4105" max="4105" width="14.28515625" style="93" customWidth="1"/>
    <col min="4106" max="4106" width="0" style="93" hidden="1" customWidth="1"/>
    <col min="4107" max="4107" width="14.28515625" style="93" customWidth="1"/>
    <col min="4108" max="4108" width="0" style="93" hidden="1" customWidth="1"/>
    <col min="4109" max="4109" width="14.28515625" style="93" customWidth="1"/>
    <col min="4110" max="4110" width="0" style="93" hidden="1" customWidth="1"/>
    <col min="4111" max="4111" width="14.28515625" style="93" customWidth="1"/>
    <col min="4112" max="4353" width="11.42578125" style="93"/>
    <col min="4354" max="4354" width="39.5703125" style="93" bestFit="1" customWidth="1"/>
    <col min="4355" max="4356" width="0" style="93" hidden="1" customWidth="1"/>
    <col min="4357" max="4357" width="14.28515625" style="93" customWidth="1"/>
    <col min="4358" max="4358" width="0" style="93" hidden="1" customWidth="1"/>
    <col min="4359" max="4359" width="14.28515625" style="93" customWidth="1"/>
    <col min="4360" max="4360" width="0" style="93" hidden="1" customWidth="1"/>
    <col min="4361" max="4361" width="14.28515625" style="93" customWidth="1"/>
    <col min="4362" max="4362" width="0" style="93" hidden="1" customWidth="1"/>
    <col min="4363" max="4363" width="14.28515625" style="93" customWidth="1"/>
    <col min="4364" max="4364" width="0" style="93" hidden="1" customWidth="1"/>
    <col min="4365" max="4365" width="14.28515625" style="93" customWidth="1"/>
    <col min="4366" max="4366" width="0" style="93" hidden="1" customWidth="1"/>
    <col min="4367" max="4367" width="14.28515625" style="93" customWidth="1"/>
    <col min="4368" max="4609" width="11.42578125" style="93"/>
    <col min="4610" max="4610" width="39.5703125" style="93" bestFit="1" customWidth="1"/>
    <col min="4611" max="4612" width="0" style="93" hidden="1" customWidth="1"/>
    <col min="4613" max="4613" width="14.28515625" style="93" customWidth="1"/>
    <col min="4614" max="4614" width="0" style="93" hidden="1" customWidth="1"/>
    <col min="4615" max="4615" width="14.28515625" style="93" customWidth="1"/>
    <col min="4616" max="4616" width="0" style="93" hidden="1" customWidth="1"/>
    <col min="4617" max="4617" width="14.28515625" style="93" customWidth="1"/>
    <col min="4618" max="4618" width="0" style="93" hidden="1" customWidth="1"/>
    <col min="4619" max="4619" width="14.28515625" style="93" customWidth="1"/>
    <col min="4620" max="4620" width="0" style="93" hidden="1" customWidth="1"/>
    <col min="4621" max="4621" width="14.28515625" style="93" customWidth="1"/>
    <col min="4622" max="4622" width="0" style="93" hidden="1" customWidth="1"/>
    <col min="4623" max="4623" width="14.28515625" style="93" customWidth="1"/>
    <col min="4624" max="4865" width="11.42578125" style="93"/>
    <col min="4866" max="4866" width="39.5703125" style="93" bestFit="1" customWidth="1"/>
    <col min="4867" max="4868" width="0" style="93" hidden="1" customWidth="1"/>
    <col min="4869" max="4869" width="14.28515625" style="93" customWidth="1"/>
    <col min="4870" max="4870" width="0" style="93" hidden="1" customWidth="1"/>
    <col min="4871" max="4871" width="14.28515625" style="93" customWidth="1"/>
    <col min="4872" max="4872" width="0" style="93" hidden="1" customWidth="1"/>
    <col min="4873" max="4873" width="14.28515625" style="93" customWidth="1"/>
    <col min="4874" max="4874" width="0" style="93" hidden="1" customWidth="1"/>
    <col min="4875" max="4875" width="14.28515625" style="93" customWidth="1"/>
    <col min="4876" max="4876" width="0" style="93" hidden="1" customWidth="1"/>
    <col min="4877" max="4877" width="14.28515625" style="93" customWidth="1"/>
    <col min="4878" max="4878" width="0" style="93" hidden="1" customWidth="1"/>
    <col min="4879" max="4879" width="14.28515625" style="93" customWidth="1"/>
    <col min="4880" max="5121" width="11.42578125" style="93"/>
    <col min="5122" max="5122" width="39.5703125" style="93" bestFit="1" customWidth="1"/>
    <col min="5123" max="5124" width="0" style="93" hidden="1" customWidth="1"/>
    <col min="5125" max="5125" width="14.28515625" style="93" customWidth="1"/>
    <col min="5126" max="5126" width="0" style="93" hidden="1" customWidth="1"/>
    <col min="5127" max="5127" width="14.28515625" style="93" customWidth="1"/>
    <col min="5128" max="5128" width="0" style="93" hidden="1" customWidth="1"/>
    <col min="5129" max="5129" width="14.28515625" style="93" customWidth="1"/>
    <col min="5130" max="5130" width="0" style="93" hidden="1" customWidth="1"/>
    <col min="5131" max="5131" width="14.28515625" style="93" customWidth="1"/>
    <col min="5132" max="5132" width="0" style="93" hidden="1" customWidth="1"/>
    <col min="5133" max="5133" width="14.28515625" style="93" customWidth="1"/>
    <col min="5134" max="5134" width="0" style="93" hidden="1" customWidth="1"/>
    <col min="5135" max="5135" width="14.28515625" style="93" customWidth="1"/>
    <col min="5136" max="5377" width="11.42578125" style="93"/>
    <col min="5378" max="5378" width="39.5703125" style="93" bestFit="1" customWidth="1"/>
    <col min="5379" max="5380" width="0" style="93" hidden="1" customWidth="1"/>
    <col min="5381" max="5381" width="14.28515625" style="93" customWidth="1"/>
    <col min="5382" max="5382" width="0" style="93" hidden="1" customWidth="1"/>
    <col min="5383" max="5383" width="14.28515625" style="93" customWidth="1"/>
    <col min="5384" max="5384" width="0" style="93" hidden="1" customWidth="1"/>
    <col min="5385" max="5385" width="14.28515625" style="93" customWidth="1"/>
    <col min="5386" max="5386" width="0" style="93" hidden="1" customWidth="1"/>
    <col min="5387" max="5387" width="14.28515625" style="93" customWidth="1"/>
    <col min="5388" max="5388" width="0" style="93" hidden="1" customWidth="1"/>
    <col min="5389" max="5389" width="14.28515625" style="93" customWidth="1"/>
    <col min="5390" max="5390" width="0" style="93" hidden="1" customWidth="1"/>
    <col min="5391" max="5391" width="14.28515625" style="93" customWidth="1"/>
    <col min="5392" max="5633" width="11.42578125" style="93"/>
    <col min="5634" max="5634" width="39.5703125" style="93" bestFit="1" customWidth="1"/>
    <col min="5635" max="5636" width="0" style="93" hidden="1" customWidth="1"/>
    <col min="5637" max="5637" width="14.28515625" style="93" customWidth="1"/>
    <col min="5638" max="5638" width="0" style="93" hidden="1" customWidth="1"/>
    <col min="5639" max="5639" width="14.28515625" style="93" customWidth="1"/>
    <col min="5640" max="5640" width="0" style="93" hidden="1" customWidth="1"/>
    <col min="5641" max="5641" width="14.28515625" style="93" customWidth="1"/>
    <col min="5642" max="5642" width="0" style="93" hidden="1" customWidth="1"/>
    <col min="5643" max="5643" width="14.28515625" style="93" customWidth="1"/>
    <col min="5644" max="5644" width="0" style="93" hidden="1" customWidth="1"/>
    <col min="5645" max="5645" width="14.28515625" style="93" customWidth="1"/>
    <col min="5646" max="5646" width="0" style="93" hidden="1" customWidth="1"/>
    <col min="5647" max="5647" width="14.28515625" style="93" customWidth="1"/>
    <col min="5648" max="5889" width="11.42578125" style="93"/>
    <col min="5890" max="5890" width="39.5703125" style="93" bestFit="1" customWidth="1"/>
    <col min="5891" max="5892" width="0" style="93" hidden="1" customWidth="1"/>
    <col min="5893" max="5893" width="14.28515625" style="93" customWidth="1"/>
    <col min="5894" max="5894" width="0" style="93" hidden="1" customWidth="1"/>
    <col min="5895" max="5895" width="14.28515625" style="93" customWidth="1"/>
    <col min="5896" max="5896" width="0" style="93" hidden="1" customWidth="1"/>
    <col min="5897" max="5897" width="14.28515625" style="93" customWidth="1"/>
    <col min="5898" max="5898" width="0" style="93" hidden="1" customWidth="1"/>
    <col min="5899" max="5899" width="14.28515625" style="93" customWidth="1"/>
    <col min="5900" max="5900" width="0" style="93" hidden="1" customWidth="1"/>
    <col min="5901" max="5901" width="14.28515625" style="93" customWidth="1"/>
    <col min="5902" max="5902" width="0" style="93" hidden="1" customWidth="1"/>
    <col min="5903" max="5903" width="14.28515625" style="93" customWidth="1"/>
    <col min="5904" max="6145" width="11.42578125" style="93"/>
    <col min="6146" max="6146" width="39.5703125" style="93" bestFit="1" customWidth="1"/>
    <col min="6147" max="6148" width="0" style="93" hidden="1" customWidth="1"/>
    <col min="6149" max="6149" width="14.28515625" style="93" customWidth="1"/>
    <col min="6150" max="6150" width="0" style="93" hidden="1" customWidth="1"/>
    <col min="6151" max="6151" width="14.28515625" style="93" customWidth="1"/>
    <col min="6152" max="6152" width="0" style="93" hidden="1" customWidth="1"/>
    <col min="6153" max="6153" width="14.28515625" style="93" customWidth="1"/>
    <col min="6154" max="6154" width="0" style="93" hidden="1" customWidth="1"/>
    <col min="6155" max="6155" width="14.28515625" style="93" customWidth="1"/>
    <col min="6156" max="6156" width="0" style="93" hidden="1" customWidth="1"/>
    <col min="6157" max="6157" width="14.28515625" style="93" customWidth="1"/>
    <col min="6158" max="6158" width="0" style="93" hidden="1" customWidth="1"/>
    <col min="6159" max="6159" width="14.28515625" style="93" customWidth="1"/>
    <col min="6160" max="6401" width="11.42578125" style="93"/>
    <col min="6402" max="6402" width="39.5703125" style="93" bestFit="1" customWidth="1"/>
    <col min="6403" max="6404" width="0" style="93" hidden="1" customWidth="1"/>
    <col min="6405" max="6405" width="14.28515625" style="93" customWidth="1"/>
    <col min="6406" max="6406" width="0" style="93" hidden="1" customWidth="1"/>
    <col min="6407" max="6407" width="14.28515625" style="93" customWidth="1"/>
    <col min="6408" max="6408" width="0" style="93" hidden="1" customWidth="1"/>
    <col min="6409" max="6409" width="14.28515625" style="93" customWidth="1"/>
    <col min="6410" max="6410" width="0" style="93" hidden="1" customWidth="1"/>
    <col min="6411" max="6411" width="14.28515625" style="93" customWidth="1"/>
    <col min="6412" max="6412" width="0" style="93" hidden="1" customWidth="1"/>
    <col min="6413" max="6413" width="14.28515625" style="93" customWidth="1"/>
    <col min="6414" max="6414" width="0" style="93" hidden="1" customWidth="1"/>
    <col min="6415" max="6415" width="14.28515625" style="93" customWidth="1"/>
    <col min="6416" max="6657" width="11.42578125" style="93"/>
    <col min="6658" max="6658" width="39.5703125" style="93" bestFit="1" customWidth="1"/>
    <col min="6659" max="6660" width="0" style="93" hidden="1" customWidth="1"/>
    <col min="6661" max="6661" width="14.28515625" style="93" customWidth="1"/>
    <col min="6662" max="6662" width="0" style="93" hidden="1" customWidth="1"/>
    <col min="6663" max="6663" width="14.28515625" style="93" customWidth="1"/>
    <col min="6664" max="6664" width="0" style="93" hidden="1" customWidth="1"/>
    <col min="6665" max="6665" width="14.28515625" style="93" customWidth="1"/>
    <col min="6666" max="6666" width="0" style="93" hidden="1" customWidth="1"/>
    <col min="6667" max="6667" width="14.28515625" style="93" customWidth="1"/>
    <col min="6668" max="6668" width="0" style="93" hidden="1" customWidth="1"/>
    <col min="6669" max="6669" width="14.28515625" style="93" customWidth="1"/>
    <col min="6670" max="6670" width="0" style="93" hidden="1" customWidth="1"/>
    <col min="6671" max="6671" width="14.28515625" style="93" customWidth="1"/>
    <col min="6672" max="6913" width="11.42578125" style="93"/>
    <col min="6914" max="6914" width="39.5703125" style="93" bestFit="1" customWidth="1"/>
    <col min="6915" max="6916" width="0" style="93" hidden="1" customWidth="1"/>
    <col min="6917" max="6917" width="14.28515625" style="93" customWidth="1"/>
    <col min="6918" max="6918" width="0" style="93" hidden="1" customWidth="1"/>
    <col min="6919" max="6919" width="14.28515625" style="93" customWidth="1"/>
    <col min="6920" max="6920" width="0" style="93" hidden="1" customWidth="1"/>
    <col min="6921" max="6921" width="14.28515625" style="93" customWidth="1"/>
    <col min="6922" max="6922" width="0" style="93" hidden="1" customWidth="1"/>
    <col min="6923" max="6923" width="14.28515625" style="93" customWidth="1"/>
    <col min="6924" max="6924" width="0" style="93" hidden="1" customWidth="1"/>
    <col min="6925" max="6925" width="14.28515625" style="93" customWidth="1"/>
    <col min="6926" max="6926" width="0" style="93" hidden="1" customWidth="1"/>
    <col min="6927" max="6927" width="14.28515625" style="93" customWidth="1"/>
    <col min="6928" max="7169" width="11.42578125" style="93"/>
    <col min="7170" max="7170" width="39.5703125" style="93" bestFit="1" customWidth="1"/>
    <col min="7171" max="7172" width="0" style="93" hidden="1" customWidth="1"/>
    <col min="7173" max="7173" width="14.28515625" style="93" customWidth="1"/>
    <col min="7174" max="7174" width="0" style="93" hidden="1" customWidth="1"/>
    <col min="7175" max="7175" width="14.28515625" style="93" customWidth="1"/>
    <col min="7176" max="7176" width="0" style="93" hidden="1" customWidth="1"/>
    <col min="7177" max="7177" width="14.28515625" style="93" customWidth="1"/>
    <col min="7178" max="7178" width="0" style="93" hidden="1" customWidth="1"/>
    <col min="7179" max="7179" width="14.28515625" style="93" customWidth="1"/>
    <col min="7180" max="7180" width="0" style="93" hidden="1" customWidth="1"/>
    <col min="7181" max="7181" width="14.28515625" style="93" customWidth="1"/>
    <col min="7182" max="7182" width="0" style="93" hidden="1" customWidth="1"/>
    <col min="7183" max="7183" width="14.28515625" style="93" customWidth="1"/>
    <col min="7184" max="7425" width="11.42578125" style="93"/>
    <col min="7426" max="7426" width="39.5703125" style="93" bestFit="1" customWidth="1"/>
    <col min="7427" max="7428" width="0" style="93" hidden="1" customWidth="1"/>
    <col min="7429" max="7429" width="14.28515625" style="93" customWidth="1"/>
    <col min="7430" max="7430" width="0" style="93" hidden="1" customWidth="1"/>
    <col min="7431" max="7431" width="14.28515625" style="93" customWidth="1"/>
    <col min="7432" max="7432" width="0" style="93" hidden="1" customWidth="1"/>
    <col min="7433" max="7433" width="14.28515625" style="93" customWidth="1"/>
    <col min="7434" max="7434" width="0" style="93" hidden="1" customWidth="1"/>
    <col min="7435" max="7435" width="14.28515625" style="93" customWidth="1"/>
    <col min="7436" max="7436" width="0" style="93" hidden="1" customWidth="1"/>
    <col min="7437" max="7437" width="14.28515625" style="93" customWidth="1"/>
    <col min="7438" max="7438" width="0" style="93" hidden="1" customWidth="1"/>
    <col min="7439" max="7439" width="14.28515625" style="93" customWidth="1"/>
    <col min="7440" max="7681" width="11.42578125" style="93"/>
    <col min="7682" max="7682" width="39.5703125" style="93" bestFit="1" customWidth="1"/>
    <col min="7683" max="7684" width="0" style="93" hidden="1" customWidth="1"/>
    <col min="7685" max="7685" width="14.28515625" style="93" customWidth="1"/>
    <col min="7686" max="7686" width="0" style="93" hidden="1" customWidth="1"/>
    <col min="7687" max="7687" width="14.28515625" style="93" customWidth="1"/>
    <col min="7688" max="7688" width="0" style="93" hidden="1" customWidth="1"/>
    <col min="7689" max="7689" width="14.28515625" style="93" customWidth="1"/>
    <col min="7690" max="7690" width="0" style="93" hidden="1" customWidth="1"/>
    <col min="7691" max="7691" width="14.28515625" style="93" customWidth="1"/>
    <col min="7692" max="7692" width="0" style="93" hidden="1" customWidth="1"/>
    <col min="7693" max="7693" width="14.28515625" style="93" customWidth="1"/>
    <col min="7694" max="7694" width="0" style="93" hidden="1" customWidth="1"/>
    <col min="7695" max="7695" width="14.28515625" style="93" customWidth="1"/>
    <col min="7696" max="7937" width="11.42578125" style="93"/>
    <col min="7938" max="7938" width="39.5703125" style="93" bestFit="1" customWidth="1"/>
    <col min="7939" max="7940" width="0" style="93" hidden="1" customWidth="1"/>
    <col min="7941" max="7941" width="14.28515625" style="93" customWidth="1"/>
    <col min="7942" max="7942" width="0" style="93" hidden="1" customWidth="1"/>
    <col min="7943" max="7943" width="14.28515625" style="93" customWidth="1"/>
    <col min="7944" max="7944" width="0" style="93" hidden="1" customWidth="1"/>
    <col min="7945" max="7945" width="14.28515625" style="93" customWidth="1"/>
    <col min="7946" max="7946" width="0" style="93" hidden="1" customWidth="1"/>
    <col min="7947" max="7947" width="14.28515625" style="93" customWidth="1"/>
    <col min="7948" max="7948" width="0" style="93" hidden="1" customWidth="1"/>
    <col min="7949" max="7949" width="14.28515625" style="93" customWidth="1"/>
    <col min="7950" max="7950" width="0" style="93" hidden="1" customWidth="1"/>
    <col min="7951" max="7951" width="14.28515625" style="93" customWidth="1"/>
    <col min="7952" max="8193" width="11.42578125" style="93"/>
    <col min="8194" max="8194" width="39.5703125" style="93" bestFit="1" customWidth="1"/>
    <col min="8195" max="8196" width="0" style="93" hidden="1" customWidth="1"/>
    <col min="8197" max="8197" width="14.28515625" style="93" customWidth="1"/>
    <col min="8198" max="8198" width="0" style="93" hidden="1" customWidth="1"/>
    <col min="8199" max="8199" width="14.28515625" style="93" customWidth="1"/>
    <col min="8200" max="8200" width="0" style="93" hidden="1" customWidth="1"/>
    <col min="8201" max="8201" width="14.28515625" style="93" customWidth="1"/>
    <col min="8202" max="8202" width="0" style="93" hidden="1" customWidth="1"/>
    <col min="8203" max="8203" width="14.28515625" style="93" customWidth="1"/>
    <col min="8204" max="8204" width="0" style="93" hidden="1" customWidth="1"/>
    <col min="8205" max="8205" width="14.28515625" style="93" customWidth="1"/>
    <col min="8206" max="8206" width="0" style="93" hidden="1" customWidth="1"/>
    <col min="8207" max="8207" width="14.28515625" style="93" customWidth="1"/>
    <col min="8208" max="8449" width="11.42578125" style="93"/>
    <col min="8450" max="8450" width="39.5703125" style="93" bestFit="1" customWidth="1"/>
    <col min="8451" max="8452" width="0" style="93" hidden="1" customWidth="1"/>
    <col min="8453" max="8453" width="14.28515625" style="93" customWidth="1"/>
    <col min="8454" max="8454" width="0" style="93" hidden="1" customWidth="1"/>
    <col min="8455" max="8455" width="14.28515625" style="93" customWidth="1"/>
    <col min="8456" max="8456" width="0" style="93" hidden="1" customWidth="1"/>
    <col min="8457" max="8457" width="14.28515625" style="93" customWidth="1"/>
    <col min="8458" max="8458" width="0" style="93" hidden="1" customWidth="1"/>
    <col min="8459" max="8459" width="14.28515625" style="93" customWidth="1"/>
    <col min="8460" max="8460" width="0" style="93" hidden="1" customWidth="1"/>
    <col min="8461" max="8461" width="14.28515625" style="93" customWidth="1"/>
    <col min="8462" max="8462" width="0" style="93" hidden="1" customWidth="1"/>
    <col min="8463" max="8463" width="14.28515625" style="93" customWidth="1"/>
    <col min="8464" max="8705" width="11.42578125" style="93"/>
    <col min="8706" max="8706" width="39.5703125" style="93" bestFit="1" customWidth="1"/>
    <col min="8707" max="8708" width="0" style="93" hidden="1" customWidth="1"/>
    <col min="8709" max="8709" width="14.28515625" style="93" customWidth="1"/>
    <col min="8710" max="8710" width="0" style="93" hidden="1" customWidth="1"/>
    <col min="8711" max="8711" width="14.28515625" style="93" customWidth="1"/>
    <col min="8712" max="8712" width="0" style="93" hidden="1" customWidth="1"/>
    <col min="8713" max="8713" width="14.28515625" style="93" customWidth="1"/>
    <col min="8714" max="8714" width="0" style="93" hidden="1" customWidth="1"/>
    <col min="8715" max="8715" width="14.28515625" style="93" customWidth="1"/>
    <col min="8716" max="8716" width="0" style="93" hidden="1" customWidth="1"/>
    <col min="8717" max="8717" width="14.28515625" style="93" customWidth="1"/>
    <col min="8718" max="8718" width="0" style="93" hidden="1" customWidth="1"/>
    <col min="8719" max="8719" width="14.28515625" style="93" customWidth="1"/>
    <col min="8720" max="8961" width="11.42578125" style="93"/>
    <col min="8962" max="8962" width="39.5703125" style="93" bestFit="1" customWidth="1"/>
    <col min="8963" max="8964" width="0" style="93" hidden="1" customWidth="1"/>
    <col min="8965" max="8965" width="14.28515625" style="93" customWidth="1"/>
    <col min="8966" max="8966" width="0" style="93" hidden="1" customWidth="1"/>
    <col min="8967" max="8967" width="14.28515625" style="93" customWidth="1"/>
    <col min="8968" max="8968" width="0" style="93" hidden="1" customWidth="1"/>
    <col min="8969" max="8969" width="14.28515625" style="93" customWidth="1"/>
    <col min="8970" max="8970" width="0" style="93" hidden="1" customWidth="1"/>
    <col min="8971" max="8971" width="14.28515625" style="93" customWidth="1"/>
    <col min="8972" max="8972" width="0" style="93" hidden="1" customWidth="1"/>
    <col min="8973" max="8973" width="14.28515625" style="93" customWidth="1"/>
    <col min="8974" max="8974" width="0" style="93" hidden="1" customWidth="1"/>
    <col min="8975" max="8975" width="14.28515625" style="93" customWidth="1"/>
    <col min="8976" max="9217" width="11.42578125" style="93"/>
    <col min="9218" max="9218" width="39.5703125" style="93" bestFit="1" customWidth="1"/>
    <col min="9219" max="9220" width="0" style="93" hidden="1" customWidth="1"/>
    <col min="9221" max="9221" width="14.28515625" style="93" customWidth="1"/>
    <col min="9222" max="9222" width="0" style="93" hidden="1" customWidth="1"/>
    <col min="9223" max="9223" width="14.28515625" style="93" customWidth="1"/>
    <col min="9224" max="9224" width="0" style="93" hidden="1" customWidth="1"/>
    <col min="9225" max="9225" width="14.28515625" style="93" customWidth="1"/>
    <col min="9226" max="9226" width="0" style="93" hidden="1" customWidth="1"/>
    <col min="9227" max="9227" width="14.28515625" style="93" customWidth="1"/>
    <col min="9228" max="9228" width="0" style="93" hidden="1" customWidth="1"/>
    <col min="9229" max="9229" width="14.28515625" style="93" customWidth="1"/>
    <col min="9230" max="9230" width="0" style="93" hidden="1" customWidth="1"/>
    <col min="9231" max="9231" width="14.28515625" style="93" customWidth="1"/>
    <col min="9232" max="9473" width="11.42578125" style="93"/>
    <col min="9474" max="9474" width="39.5703125" style="93" bestFit="1" customWidth="1"/>
    <col min="9475" max="9476" width="0" style="93" hidden="1" customWidth="1"/>
    <col min="9477" max="9477" width="14.28515625" style="93" customWidth="1"/>
    <col min="9478" max="9478" width="0" style="93" hidden="1" customWidth="1"/>
    <col min="9479" max="9479" width="14.28515625" style="93" customWidth="1"/>
    <col min="9480" max="9480" width="0" style="93" hidden="1" customWidth="1"/>
    <col min="9481" max="9481" width="14.28515625" style="93" customWidth="1"/>
    <col min="9482" max="9482" width="0" style="93" hidden="1" customWidth="1"/>
    <col min="9483" max="9483" width="14.28515625" style="93" customWidth="1"/>
    <col min="9484" max="9484" width="0" style="93" hidden="1" customWidth="1"/>
    <col min="9485" max="9485" width="14.28515625" style="93" customWidth="1"/>
    <col min="9486" max="9486" width="0" style="93" hidden="1" customWidth="1"/>
    <col min="9487" max="9487" width="14.28515625" style="93" customWidth="1"/>
    <col min="9488" max="9729" width="11.42578125" style="93"/>
    <col min="9730" max="9730" width="39.5703125" style="93" bestFit="1" customWidth="1"/>
    <col min="9731" max="9732" width="0" style="93" hidden="1" customWidth="1"/>
    <col min="9733" max="9733" width="14.28515625" style="93" customWidth="1"/>
    <col min="9734" max="9734" width="0" style="93" hidden="1" customWidth="1"/>
    <col min="9735" max="9735" width="14.28515625" style="93" customWidth="1"/>
    <col min="9736" max="9736" width="0" style="93" hidden="1" customWidth="1"/>
    <col min="9737" max="9737" width="14.28515625" style="93" customWidth="1"/>
    <col min="9738" max="9738" width="0" style="93" hidden="1" customWidth="1"/>
    <col min="9739" max="9739" width="14.28515625" style="93" customWidth="1"/>
    <col min="9740" max="9740" width="0" style="93" hidden="1" customWidth="1"/>
    <col min="9741" max="9741" width="14.28515625" style="93" customWidth="1"/>
    <col min="9742" max="9742" width="0" style="93" hidden="1" customWidth="1"/>
    <col min="9743" max="9743" width="14.28515625" style="93" customWidth="1"/>
    <col min="9744" max="9985" width="11.42578125" style="93"/>
    <col min="9986" max="9986" width="39.5703125" style="93" bestFit="1" customWidth="1"/>
    <col min="9987" max="9988" width="0" style="93" hidden="1" customWidth="1"/>
    <col min="9989" max="9989" width="14.28515625" style="93" customWidth="1"/>
    <col min="9990" max="9990" width="0" style="93" hidden="1" customWidth="1"/>
    <col min="9991" max="9991" width="14.28515625" style="93" customWidth="1"/>
    <col min="9992" max="9992" width="0" style="93" hidden="1" customWidth="1"/>
    <col min="9993" max="9993" width="14.28515625" style="93" customWidth="1"/>
    <col min="9994" max="9994" width="0" style="93" hidden="1" customWidth="1"/>
    <col min="9995" max="9995" width="14.28515625" style="93" customWidth="1"/>
    <col min="9996" max="9996" width="0" style="93" hidden="1" customWidth="1"/>
    <col min="9997" max="9997" width="14.28515625" style="93" customWidth="1"/>
    <col min="9998" max="9998" width="0" style="93" hidden="1" customWidth="1"/>
    <col min="9999" max="9999" width="14.28515625" style="93" customWidth="1"/>
    <col min="10000" max="10241" width="11.42578125" style="93"/>
    <col min="10242" max="10242" width="39.5703125" style="93" bestFit="1" customWidth="1"/>
    <col min="10243" max="10244" width="0" style="93" hidden="1" customWidth="1"/>
    <col min="10245" max="10245" width="14.28515625" style="93" customWidth="1"/>
    <col min="10246" max="10246" width="0" style="93" hidden="1" customWidth="1"/>
    <col min="10247" max="10247" width="14.28515625" style="93" customWidth="1"/>
    <col min="10248" max="10248" width="0" style="93" hidden="1" customWidth="1"/>
    <col min="10249" max="10249" width="14.28515625" style="93" customWidth="1"/>
    <col min="10250" max="10250" width="0" style="93" hidden="1" customWidth="1"/>
    <col min="10251" max="10251" width="14.28515625" style="93" customWidth="1"/>
    <col min="10252" max="10252" width="0" style="93" hidden="1" customWidth="1"/>
    <col min="10253" max="10253" width="14.28515625" style="93" customWidth="1"/>
    <col min="10254" max="10254" width="0" style="93" hidden="1" customWidth="1"/>
    <col min="10255" max="10255" width="14.28515625" style="93" customWidth="1"/>
    <col min="10256" max="10497" width="11.42578125" style="93"/>
    <col min="10498" max="10498" width="39.5703125" style="93" bestFit="1" customWidth="1"/>
    <col min="10499" max="10500" width="0" style="93" hidden="1" customWidth="1"/>
    <col min="10501" max="10501" width="14.28515625" style="93" customWidth="1"/>
    <col min="10502" max="10502" width="0" style="93" hidden="1" customWidth="1"/>
    <col min="10503" max="10503" width="14.28515625" style="93" customWidth="1"/>
    <col min="10504" max="10504" width="0" style="93" hidden="1" customWidth="1"/>
    <col min="10505" max="10505" width="14.28515625" style="93" customWidth="1"/>
    <col min="10506" max="10506" width="0" style="93" hidden="1" customWidth="1"/>
    <col min="10507" max="10507" width="14.28515625" style="93" customWidth="1"/>
    <col min="10508" max="10508" width="0" style="93" hidden="1" customWidth="1"/>
    <col min="10509" max="10509" width="14.28515625" style="93" customWidth="1"/>
    <col min="10510" max="10510" width="0" style="93" hidden="1" customWidth="1"/>
    <col min="10511" max="10511" width="14.28515625" style="93" customWidth="1"/>
    <col min="10512" max="10753" width="11.42578125" style="93"/>
    <col min="10754" max="10754" width="39.5703125" style="93" bestFit="1" customWidth="1"/>
    <col min="10755" max="10756" width="0" style="93" hidden="1" customWidth="1"/>
    <col min="10757" max="10757" width="14.28515625" style="93" customWidth="1"/>
    <col min="10758" max="10758" width="0" style="93" hidden="1" customWidth="1"/>
    <col min="10759" max="10759" width="14.28515625" style="93" customWidth="1"/>
    <col min="10760" max="10760" width="0" style="93" hidden="1" customWidth="1"/>
    <col min="10761" max="10761" width="14.28515625" style="93" customWidth="1"/>
    <col min="10762" max="10762" width="0" style="93" hidden="1" customWidth="1"/>
    <col min="10763" max="10763" width="14.28515625" style="93" customWidth="1"/>
    <col min="10764" max="10764" width="0" style="93" hidden="1" customWidth="1"/>
    <col min="10765" max="10765" width="14.28515625" style="93" customWidth="1"/>
    <col min="10766" max="10766" width="0" style="93" hidden="1" customWidth="1"/>
    <col min="10767" max="10767" width="14.28515625" style="93" customWidth="1"/>
    <col min="10768" max="11009" width="11.42578125" style="93"/>
    <col min="11010" max="11010" width="39.5703125" style="93" bestFit="1" customWidth="1"/>
    <col min="11011" max="11012" width="0" style="93" hidden="1" customWidth="1"/>
    <col min="11013" max="11013" width="14.28515625" style="93" customWidth="1"/>
    <col min="11014" max="11014" width="0" style="93" hidden="1" customWidth="1"/>
    <col min="11015" max="11015" width="14.28515625" style="93" customWidth="1"/>
    <col min="11016" max="11016" width="0" style="93" hidden="1" customWidth="1"/>
    <col min="11017" max="11017" width="14.28515625" style="93" customWidth="1"/>
    <col min="11018" max="11018" width="0" style="93" hidden="1" customWidth="1"/>
    <col min="11019" max="11019" width="14.28515625" style="93" customWidth="1"/>
    <col min="11020" max="11020" width="0" style="93" hidden="1" customWidth="1"/>
    <col min="11021" max="11021" width="14.28515625" style="93" customWidth="1"/>
    <col min="11022" max="11022" width="0" style="93" hidden="1" customWidth="1"/>
    <col min="11023" max="11023" width="14.28515625" style="93" customWidth="1"/>
    <col min="11024" max="11265" width="11.42578125" style="93"/>
    <col min="11266" max="11266" width="39.5703125" style="93" bestFit="1" customWidth="1"/>
    <col min="11267" max="11268" width="0" style="93" hidden="1" customWidth="1"/>
    <col min="11269" max="11269" width="14.28515625" style="93" customWidth="1"/>
    <col min="11270" max="11270" width="0" style="93" hidden="1" customWidth="1"/>
    <col min="11271" max="11271" width="14.28515625" style="93" customWidth="1"/>
    <col min="11272" max="11272" width="0" style="93" hidden="1" customWidth="1"/>
    <col min="11273" max="11273" width="14.28515625" style="93" customWidth="1"/>
    <col min="11274" max="11274" width="0" style="93" hidden="1" customWidth="1"/>
    <col min="11275" max="11275" width="14.28515625" style="93" customWidth="1"/>
    <col min="11276" max="11276" width="0" style="93" hidden="1" customWidth="1"/>
    <col min="11277" max="11277" width="14.28515625" style="93" customWidth="1"/>
    <col min="11278" max="11278" width="0" style="93" hidden="1" customWidth="1"/>
    <col min="11279" max="11279" width="14.28515625" style="93" customWidth="1"/>
    <col min="11280" max="11521" width="11.42578125" style="93"/>
    <col min="11522" max="11522" width="39.5703125" style="93" bestFit="1" customWidth="1"/>
    <col min="11523" max="11524" width="0" style="93" hidden="1" customWidth="1"/>
    <col min="11525" max="11525" width="14.28515625" style="93" customWidth="1"/>
    <col min="11526" max="11526" width="0" style="93" hidden="1" customWidth="1"/>
    <col min="11527" max="11527" width="14.28515625" style="93" customWidth="1"/>
    <col min="11528" max="11528" width="0" style="93" hidden="1" customWidth="1"/>
    <col min="11529" max="11529" width="14.28515625" style="93" customWidth="1"/>
    <col min="11530" max="11530" width="0" style="93" hidden="1" customWidth="1"/>
    <col min="11531" max="11531" width="14.28515625" style="93" customWidth="1"/>
    <col min="11532" max="11532" width="0" style="93" hidden="1" customWidth="1"/>
    <col min="11533" max="11533" width="14.28515625" style="93" customWidth="1"/>
    <col min="11534" max="11534" width="0" style="93" hidden="1" customWidth="1"/>
    <col min="11535" max="11535" width="14.28515625" style="93" customWidth="1"/>
    <col min="11536" max="11777" width="11.42578125" style="93"/>
    <col min="11778" max="11778" width="39.5703125" style="93" bestFit="1" customWidth="1"/>
    <col min="11779" max="11780" width="0" style="93" hidden="1" customWidth="1"/>
    <col min="11781" max="11781" width="14.28515625" style="93" customWidth="1"/>
    <col min="11782" max="11782" width="0" style="93" hidden="1" customWidth="1"/>
    <col min="11783" max="11783" width="14.28515625" style="93" customWidth="1"/>
    <col min="11784" max="11784" width="0" style="93" hidden="1" customWidth="1"/>
    <col min="11785" max="11785" width="14.28515625" style="93" customWidth="1"/>
    <col min="11786" max="11786" width="0" style="93" hidden="1" customWidth="1"/>
    <col min="11787" max="11787" width="14.28515625" style="93" customWidth="1"/>
    <col min="11788" max="11788" width="0" style="93" hidden="1" customWidth="1"/>
    <col min="11789" max="11789" width="14.28515625" style="93" customWidth="1"/>
    <col min="11790" max="11790" width="0" style="93" hidden="1" customWidth="1"/>
    <col min="11791" max="11791" width="14.28515625" style="93" customWidth="1"/>
    <col min="11792" max="12033" width="11.42578125" style="93"/>
    <col min="12034" max="12034" width="39.5703125" style="93" bestFit="1" customWidth="1"/>
    <col min="12035" max="12036" width="0" style="93" hidden="1" customWidth="1"/>
    <col min="12037" max="12037" width="14.28515625" style="93" customWidth="1"/>
    <col min="12038" max="12038" width="0" style="93" hidden="1" customWidth="1"/>
    <col min="12039" max="12039" width="14.28515625" style="93" customWidth="1"/>
    <col min="12040" max="12040" width="0" style="93" hidden="1" customWidth="1"/>
    <col min="12041" max="12041" width="14.28515625" style="93" customWidth="1"/>
    <col min="12042" max="12042" width="0" style="93" hidden="1" customWidth="1"/>
    <col min="12043" max="12043" width="14.28515625" style="93" customWidth="1"/>
    <col min="12044" max="12044" width="0" style="93" hidden="1" customWidth="1"/>
    <col min="12045" max="12045" width="14.28515625" style="93" customWidth="1"/>
    <col min="12046" max="12046" width="0" style="93" hidden="1" customWidth="1"/>
    <col min="12047" max="12047" width="14.28515625" style="93" customWidth="1"/>
    <col min="12048" max="12289" width="11.42578125" style="93"/>
    <col min="12290" max="12290" width="39.5703125" style="93" bestFit="1" customWidth="1"/>
    <col min="12291" max="12292" width="0" style="93" hidden="1" customWidth="1"/>
    <col min="12293" max="12293" width="14.28515625" style="93" customWidth="1"/>
    <col min="12294" max="12294" width="0" style="93" hidden="1" customWidth="1"/>
    <col min="12295" max="12295" width="14.28515625" style="93" customWidth="1"/>
    <col min="12296" max="12296" width="0" style="93" hidden="1" customWidth="1"/>
    <col min="12297" max="12297" width="14.28515625" style="93" customWidth="1"/>
    <col min="12298" max="12298" width="0" style="93" hidden="1" customWidth="1"/>
    <col min="12299" max="12299" width="14.28515625" style="93" customWidth="1"/>
    <col min="12300" max="12300" width="0" style="93" hidden="1" customWidth="1"/>
    <col min="12301" max="12301" width="14.28515625" style="93" customWidth="1"/>
    <col min="12302" max="12302" width="0" style="93" hidden="1" customWidth="1"/>
    <col min="12303" max="12303" width="14.28515625" style="93" customWidth="1"/>
    <col min="12304" max="12545" width="11.42578125" style="93"/>
    <col min="12546" max="12546" width="39.5703125" style="93" bestFit="1" customWidth="1"/>
    <col min="12547" max="12548" width="0" style="93" hidden="1" customWidth="1"/>
    <col min="12549" max="12549" width="14.28515625" style="93" customWidth="1"/>
    <col min="12550" max="12550" width="0" style="93" hidden="1" customWidth="1"/>
    <col min="12551" max="12551" width="14.28515625" style="93" customWidth="1"/>
    <col min="12552" max="12552" width="0" style="93" hidden="1" customWidth="1"/>
    <col min="12553" max="12553" width="14.28515625" style="93" customWidth="1"/>
    <col min="12554" max="12554" width="0" style="93" hidden="1" customWidth="1"/>
    <col min="12555" max="12555" width="14.28515625" style="93" customWidth="1"/>
    <col min="12556" max="12556" width="0" style="93" hidden="1" customWidth="1"/>
    <col min="12557" max="12557" width="14.28515625" style="93" customWidth="1"/>
    <col min="12558" max="12558" width="0" style="93" hidden="1" customWidth="1"/>
    <col min="12559" max="12559" width="14.28515625" style="93" customWidth="1"/>
    <col min="12560" max="12801" width="11.42578125" style="93"/>
    <col min="12802" max="12802" width="39.5703125" style="93" bestFit="1" customWidth="1"/>
    <col min="12803" max="12804" width="0" style="93" hidden="1" customWidth="1"/>
    <col min="12805" max="12805" width="14.28515625" style="93" customWidth="1"/>
    <col min="12806" max="12806" width="0" style="93" hidden="1" customWidth="1"/>
    <col min="12807" max="12807" width="14.28515625" style="93" customWidth="1"/>
    <col min="12808" max="12808" width="0" style="93" hidden="1" customWidth="1"/>
    <col min="12809" max="12809" width="14.28515625" style="93" customWidth="1"/>
    <col min="12810" max="12810" width="0" style="93" hidden="1" customWidth="1"/>
    <col min="12811" max="12811" width="14.28515625" style="93" customWidth="1"/>
    <col min="12812" max="12812" width="0" style="93" hidden="1" customWidth="1"/>
    <col min="12813" max="12813" width="14.28515625" style="93" customWidth="1"/>
    <col min="12814" max="12814" width="0" style="93" hidden="1" customWidth="1"/>
    <col min="12815" max="12815" width="14.28515625" style="93" customWidth="1"/>
    <col min="12816" max="13057" width="11.42578125" style="93"/>
    <col min="13058" max="13058" width="39.5703125" style="93" bestFit="1" customWidth="1"/>
    <col min="13059" max="13060" width="0" style="93" hidden="1" customWidth="1"/>
    <col min="13061" max="13061" width="14.28515625" style="93" customWidth="1"/>
    <col min="13062" max="13062" width="0" style="93" hidden="1" customWidth="1"/>
    <col min="13063" max="13063" width="14.28515625" style="93" customWidth="1"/>
    <col min="13064" max="13064" width="0" style="93" hidden="1" customWidth="1"/>
    <col min="13065" max="13065" width="14.28515625" style="93" customWidth="1"/>
    <col min="13066" max="13066" width="0" style="93" hidden="1" customWidth="1"/>
    <col min="13067" max="13067" width="14.28515625" style="93" customWidth="1"/>
    <col min="13068" max="13068" width="0" style="93" hidden="1" customWidth="1"/>
    <col min="13069" max="13069" width="14.28515625" style="93" customWidth="1"/>
    <col min="13070" max="13070" width="0" style="93" hidden="1" customWidth="1"/>
    <col min="13071" max="13071" width="14.28515625" style="93" customWidth="1"/>
    <col min="13072" max="13313" width="11.42578125" style="93"/>
    <col min="13314" max="13314" width="39.5703125" style="93" bestFit="1" customWidth="1"/>
    <col min="13315" max="13316" width="0" style="93" hidden="1" customWidth="1"/>
    <col min="13317" max="13317" width="14.28515625" style="93" customWidth="1"/>
    <col min="13318" max="13318" width="0" style="93" hidden="1" customWidth="1"/>
    <col min="13319" max="13319" width="14.28515625" style="93" customWidth="1"/>
    <col min="13320" max="13320" width="0" style="93" hidden="1" customWidth="1"/>
    <col min="13321" max="13321" width="14.28515625" style="93" customWidth="1"/>
    <col min="13322" max="13322" width="0" style="93" hidden="1" customWidth="1"/>
    <col min="13323" max="13323" width="14.28515625" style="93" customWidth="1"/>
    <col min="13324" max="13324" width="0" style="93" hidden="1" customWidth="1"/>
    <col min="13325" max="13325" width="14.28515625" style="93" customWidth="1"/>
    <col min="13326" max="13326" width="0" style="93" hidden="1" customWidth="1"/>
    <col min="13327" max="13327" width="14.28515625" style="93" customWidth="1"/>
    <col min="13328" max="13569" width="11.42578125" style="93"/>
    <col min="13570" max="13570" width="39.5703125" style="93" bestFit="1" customWidth="1"/>
    <col min="13571" max="13572" width="0" style="93" hidden="1" customWidth="1"/>
    <col min="13573" max="13573" width="14.28515625" style="93" customWidth="1"/>
    <col min="13574" max="13574" width="0" style="93" hidden="1" customWidth="1"/>
    <col min="13575" max="13575" width="14.28515625" style="93" customWidth="1"/>
    <col min="13576" max="13576" width="0" style="93" hidden="1" customWidth="1"/>
    <col min="13577" max="13577" width="14.28515625" style="93" customWidth="1"/>
    <col min="13578" max="13578" width="0" style="93" hidden="1" customWidth="1"/>
    <col min="13579" max="13579" width="14.28515625" style="93" customWidth="1"/>
    <col min="13580" max="13580" width="0" style="93" hidden="1" customWidth="1"/>
    <col min="13581" max="13581" width="14.28515625" style="93" customWidth="1"/>
    <col min="13582" max="13582" width="0" style="93" hidden="1" customWidth="1"/>
    <col min="13583" max="13583" width="14.28515625" style="93" customWidth="1"/>
    <col min="13584" max="13825" width="11.42578125" style="93"/>
    <col min="13826" max="13826" width="39.5703125" style="93" bestFit="1" customWidth="1"/>
    <col min="13827" max="13828" width="0" style="93" hidden="1" customWidth="1"/>
    <col min="13829" max="13829" width="14.28515625" style="93" customWidth="1"/>
    <col min="13830" max="13830" width="0" style="93" hidden="1" customWidth="1"/>
    <col min="13831" max="13831" width="14.28515625" style="93" customWidth="1"/>
    <col min="13832" max="13832" width="0" style="93" hidden="1" customWidth="1"/>
    <col min="13833" max="13833" width="14.28515625" style="93" customWidth="1"/>
    <col min="13834" max="13834" width="0" style="93" hidden="1" customWidth="1"/>
    <col min="13835" max="13835" width="14.28515625" style="93" customWidth="1"/>
    <col min="13836" max="13836" width="0" style="93" hidden="1" customWidth="1"/>
    <col min="13837" max="13837" width="14.28515625" style="93" customWidth="1"/>
    <col min="13838" max="13838" width="0" style="93" hidden="1" customWidth="1"/>
    <col min="13839" max="13839" width="14.28515625" style="93" customWidth="1"/>
    <col min="13840" max="14081" width="11.42578125" style="93"/>
    <col min="14082" max="14082" width="39.5703125" style="93" bestFit="1" customWidth="1"/>
    <col min="14083" max="14084" width="0" style="93" hidden="1" customWidth="1"/>
    <col min="14085" max="14085" width="14.28515625" style="93" customWidth="1"/>
    <col min="14086" max="14086" width="0" style="93" hidden="1" customWidth="1"/>
    <col min="14087" max="14087" width="14.28515625" style="93" customWidth="1"/>
    <col min="14088" max="14088" width="0" style="93" hidden="1" customWidth="1"/>
    <col min="14089" max="14089" width="14.28515625" style="93" customWidth="1"/>
    <col min="14090" max="14090" width="0" style="93" hidden="1" customWidth="1"/>
    <col min="14091" max="14091" width="14.28515625" style="93" customWidth="1"/>
    <col min="14092" max="14092" width="0" style="93" hidden="1" customWidth="1"/>
    <col min="14093" max="14093" width="14.28515625" style="93" customWidth="1"/>
    <col min="14094" max="14094" width="0" style="93" hidden="1" customWidth="1"/>
    <col min="14095" max="14095" width="14.28515625" style="93" customWidth="1"/>
    <col min="14096" max="14337" width="11.42578125" style="93"/>
    <col min="14338" max="14338" width="39.5703125" style="93" bestFit="1" customWidth="1"/>
    <col min="14339" max="14340" width="0" style="93" hidden="1" customWidth="1"/>
    <col min="14341" max="14341" width="14.28515625" style="93" customWidth="1"/>
    <col min="14342" max="14342" width="0" style="93" hidden="1" customWidth="1"/>
    <col min="14343" max="14343" width="14.28515625" style="93" customWidth="1"/>
    <col min="14344" max="14344" width="0" style="93" hidden="1" customWidth="1"/>
    <col min="14345" max="14345" width="14.28515625" style="93" customWidth="1"/>
    <col min="14346" max="14346" width="0" style="93" hidden="1" customWidth="1"/>
    <col min="14347" max="14347" width="14.28515625" style="93" customWidth="1"/>
    <col min="14348" max="14348" width="0" style="93" hidden="1" customWidth="1"/>
    <col min="14349" max="14349" width="14.28515625" style="93" customWidth="1"/>
    <col min="14350" max="14350" width="0" style="93" hidden="1" customWidth="1"/>
    <col min="14351" max="14351" width="14.28515625" style="93" customWidth="1"/>
    <col min="14352" max="14593" width="11.42578125" style="93"/>
    <col min="14594" max="14594" width="39.5703125" style="93" bestFit="1" customWidth="1"/>
    <col min="14595" max="14596" width="0" style="93" hidden="1" customWidth="1"/>
    <col min="14597" max="14597" width="14.28515625" style="93" customWidth="1"/>
    <col min="14598" max="14598" width="0" style="93" hidden="1" customWidth="1"/>
    <col min="14599" max="14599" width="14.28515625" style="93" customWidth="1"/>
    <col min="14600" max="14600" width="0" style="93" hidden="1" customWidth="1"/>
    <col min="14601" max="14601" width="14.28515625" style="93" customWidth="1"/>
    <col min="14602" max="14602" width="0" style="93" hidden="1" customWidth="1"/>
    <col min="14603" max="14603" width="14.28515625" style="93" customWidth="1"/>
    <col min="14604" max="14604" width="0" style="93" hidden="1" customWidth="1"/>
    <col min="14605" max="14605" width="14.28515625" style="93" customWidth="1"/>
    <col min="14606" max="14606" width="0" style="93" hidden="1" customWidth="1"/>
    <col min="14607" max="14607" width="14.28515625" style="93" customWidth="1"/>
    <col min="14608" max="14849" width="11.42578125" style="93"/>
    <col min="14850" max="14850" width="39.5703125" style="93" bestFit="1" customWidth="1"/>
    <col min="14851" max="14852" width="0" style="93" hidden="1" customWidth="1"/>
    <col min="14853" max="14853" width="14.28515625" style="93" customWidth="1"/>
    <col min="14854" max="14854" width="0" style="93" hidden="1" customWidth="1"/>
    <col min="14855" max="14855" width="14.28515625" style="93" customWidth="1"/>
    <col min="14856" max="14856" width="0" style="93" hidden="1" customWidth="1"/>
    <col min="14857" max="14857" width="14.28515625" style="93" customWidth="1"/>
    <col min="14858" max="14858" width="0" style="93" hidden="1" customWidth="1"/>
    <col min="14859" max="14859" width="14.28515625" style="93" customWidth="1"/>
    <col min="14860" max="14860" width="0" style="93" hidden="1" customWidth="1"/>
    <col min="14861" max="14861" width="14.28515625" style="93" customWidth="1"/>
    <col min="14862" max="14862" width="0" style="93" hidden="1" customWidth="1"/>
    <col min="14863" max="14863" width="14.28515625" style="93" customWidth="1"/>
    <col min="14864" max="15105" width="11.42578125" style="93"/>
    <col min="15106" max="15106" width="39.5703125" style="93" bestFit="1" customWidth="1"/>
    <col min="15107" max="15108" width="0" style="93" hidden="1" customWidth="1"/>
    <col min="15109" max="15109" width="14.28515625" style="93" customWidth="1"/>
    <col min="15110" max="15110" width="0" style="93" hidden="1" customWidth="1"/>
    <col min="15111" max="15111" width="14.28515625" style="93" customWidth="1"/>
    <col min="15112" max="15112" width="0" style="93" hidden="1" customWidth="1"/>
    <col min="15113" max="15113" width="14.28515625" style="93" customWidth="1"/>
    <col min="15114" max="15114" width="0" style="93" hidden="1" customWidth="1"/>
    <col min="15115" max="15115" width="14.28515625" style="93" customWidth="1"/>
    <col min="15116" max="15116" width="0" style="93" hidden="1" customWidth="1"/>
    <col min="15117" max="15117" width="14.28515625" style="93" customWidth="1"/>
    <col min="15118" max="15118" width="0" style="93" hidden="1" customWidth="1"/>
    <col min="15119" max="15119" width="14.28515625" style="93" customWidth="1"/>
    <col min="15120" max="15361" width="11.42578125" style="93"/>
    <col min="15362" max="15362" width="39.5703125" style="93" bestFit="1" customWidth="1"/>
    <col min="15363" max="15364" width="0" style="93" hidden="1" customWidth="1"/>
    <col min="15365" max="15365" width="14.28515625" style="93" customWidth="1"/>
    <col min="15366" max="15366" width="0" style="93" hidden="1" customWidth="1"/>
    <col min="15367" max="15367" width="14.28515625" style="93" customWidth="1"/>
    <col min="15368" max="15368" width="0" style="93" hidden="1" customWidth="1"/>
    <col min="15369" max="15369" width="14.28515625" style="93" customWidth="1"/>
    <col min="15370" max="15370" width="0" style="93" hidden="1" customWidth="1"/>
    <col min="15371" max="15371" width="14.28515625" style="93" customWidth="1"/>
    <col min="15372" max="15372" width="0" style="93" hidden="1" customWidth="1"/>
    <col min="15373" max="15373" width="14.28515625" style="93" customWidth="1"/>
    <col min="15374" max="15374" width="0" style="93" hidden="1" customWidth="1"/>
    <col min="15375" max="15375" width="14.28515625" style="93" customWidth="1"/>
    <col min="15376" max="15617" width="11.42578125" style="93"/>
    <col min="15618" max="15618" width="39.5703125" style="93" bestFit="1" customWidth="1"/>
    <col min="15619" max="15620" width="0" style="93" hidden="1" customWidth="1"/>
    <col min="15621" max="15621" width="14.28515625" style="93" customWidth="1"/>
    <col min="15622" max="15622" width="0" style="93" hidden="1" customWidth="1"/>
    <col min="15623" max="15623" width="14.28515625" style="93" customWidth="1"/>
    <col min="15624" max="15624" width="0" style="93" hidden="1" customWidth="1"/>
    <col min="15625" max="15625" width="14.28515625" style="93" customWidth="1"/>
    <col min="15626" max="15626" width="0" style="93" hidden="1" customWidth="1"/>
    <col min="15627" max="15627" width="14.28515625" style="93" customWidth="1"/>
    <col min="15628" max="15628" width="0" style="93" hidden="1" customWidth="1"/>
    <col min="15629" max="15629" width="14.28515625" style="93" customWidth="1"/>
    <col min="15630" max="15630" width="0" style="93" hidden="1" customWidth="1"/>
    <col min="15631" max="15631" width="14.28515625" style="93" customWidth="1"/>
    <col min="15632" max="15873" width="11.42578125" style="93"/>
    <col min="15874" max="15874" width="39.5703125" style="93" bestFit="1" customWidth="1"/>
    <col min="15875" max="15876" width="0" style="93" hidden="1" customWidth="1"/>
    <col min="15877" max="15877" width="14.28515625" style="93" customWidth="1"/>
    <col min="15878" max="15878" width="0" style="93" hidden="1" customWidth="1"/>
    <col min="15879" max="15879" width="14.28515625" style="93" customWidth="1"/>
    <col min="15880" max="15880" width="0" style="93" hidden="1" customWidth="1"/>
    <col min="15881" max="15881" width="14.28515625" style="93" customWidth="1"/>
    <col min="15882" max="15882" width="0" style="93" hidden="1" customWidth="1"/>
    <col min="15883" max="15883" width="14.28515625" style="93" customWidth="1"/>
    <col min="15884" max="15884" width="0" style="93" hidden="1" customWidth="1"/>
    <col min="15885" max="15885" width="14.28515625" style="93" customWidth="1"/>
    <col min="15886" max="15886" width="0" style="93" hidden="1" customWidth="1"/>
    <col min="15887" max="15887" width="14.28515625" style="93" customWidth="1"/>
    <col min="15888" max="16129" width="11.42578125" style="93"/>
    <col min="16130" max="16130" width="39.5703125" style="93" bestFit="1" customWidth="1"/>
    <col min="16131" max="16132" width="0" style="93" hidden="1" customWidth="1"/>
    <col min="16133" max="16133" width="14.28515625" style="93" customWidth="1"/>
    <col min="16134" max="16134" width="0" style="93" hidden="1" customWidth="1"/>
    <col min="16135" max="16135" width="14.28515625" style="93" customWidth="1"/>
    <col min="16136" max="16136" width="0" style="93" hidden="1" customWidth="1"/>
    <col min="16137" max="16137" width="14.28515625" style="93" customWidth="1"/>
    <col min="16138" max="16138" width="0" style="93" hidden="1" customWidth="1"/>
    <col min="16139" max="16139" width="14.28515625" style="93" customWidth="1"/>
    <col min="16140" max="16140" width="0" style="93" hidden="1" customWidth="1"/>
    <col min="16141" max="16141" width="14.28515625" style="93" customWidth="1"/>
    <col min="16142" max="16142" width="0" style="93" hidden="1" customWidth="1"/>
    <col min="16143" max="16143" width="14.28515625" style="93" customWidth="1"/>
    <col min="16144" max="16384" width="11.42578125" style="93"/>
  </cols>
  <sheetData>
    <row r="1" spans="2:42" ht="23.25" x14ac:dyDescent="0.35">
      <c r="E1" s="113" t="s">
        <v>0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42" ht="15.75" x14ac:dyDescent="0.25">
      <c r="E2" s="112" t="s">
        <v>196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42" ht="15.75" thickBot="1" x14ac:dyDescent="0.3"/>
    <row r="4" spans="2:42" ht="19.5" thickBot="1" x14ac:dyDescent="0.35">
      <c r="B4" s="115" t="s">
        <v>193</v>
      </c>
      <c r="E4" s="114">
        <v>2</v>
      </c>
      <c r="S4" s="92" t="s">
        <v>194</v>
      </c>
      <c r="T4" s="97" t="s">
        <v>195</v>
      </c>
    </row>
    <row r="5" spans="2:42" x14ac:dyDescent="0.25">
      <c r="S5" s="92">
        <v>1</v>
      </c>
      <c r="T5" s="111">
        <v>1</v>
      </c>
    </row>
    <row r="6" spans="2:42" s="116" customFormat="1" x14ac:dyDescent="0.25">
      <c r="D6" s="144" t="s">
        <v>1</v>
      </c>
      <c r="E6" s="144"/>
      <c r="F6" s="144" t="s">
        <v>2</v>
      </c>
      <c r="G6" s="144"/>
      <c r="H6" s="144" t="s">
        <v>3</v>
      </c>
      <c r="I6" s="144"/>
      <c r="J6" s="144" t="s">
        <v>4</v>
      </c>
      <c r="K6" s="144"/>
      <c r="L6" s="144" t="s">
        <v>5</v>
      </c>
      <c r="M6" s="144"/>
      <c r="N6" s="144" t="s">
        <v>6</v>
      </c>
      <c r="O6" s="144"/>
      <c r="P6" s="117"/>
      <c r="Q6" s="117"/>
      <c r="R6" s="117"/>
      <c r="S6" s="118">
        <v>2</v>
      </c>
      <c r="T6" s="111">
        <v>0.9</v>
      </c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</row>
    <row r="7" spans="2:42" s="116" customFormat="1" x14ac:dyDescent="0.25">
      <c r="B7" s="119"/>
      <c r="C7" s="119"/>
      <c r="D7" s="120" t="s">
        <v>7</v>
      </c>
      <c r="E7" s="143" t="s">
        <v>8</v>
      </c>
      <c r="F7" s="121" t="s">
        <v>9</v>
      </c>
      <c r="G7" s="143" t="s">
        <v>10</v>
      </c>
      <c r="H7" s="121" t="s">
        <v>11</v>
      </c>
      <c r="I7" s="143" t="s">
        <v>12</v>
      </c>
      <c r="J7" s="143" t="s">
        <v>13</v>
      </c>
      <c r="K7" s="143" t="s">
        <v>14</v>
      </c>
      <c r="L7" s="143" t="s">
        <v>15</v>
      </c>
      <c r="M7" s="143" t="s">
        <v>16</v>
      </c>
      <c r="N7" s="143" t="s">
        <v>17</v>
      </c>
      <c r="O7" s="143" t="s">
        <v>18</v>
      </c>
      <c r="P7" s="117"/>
      <c r="Q7" s="117"/>
      <c r="R7" s="117"/>
      <c r="S7" s="118">
        <v>3</v>
      </c>
      <c r="T7" s="111">
        <v>0.8</v>
      </c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</row>
    <row r="8" spans="2:42" s="116" customFormat="1" x14ac:dyDescent="0.25">
      <c r="B8" s="116" t="s">
        <v>19</v>
      </c>
      <c r="D8" s="95">
        <f>'[1]4. Cedula IETU'!B6</f>
        <v>5920</v>
      </c>
      <c r="E8" s="95">
        <v>250000</v>
      </c>
      <c r="F8" s="95"/>
      <c r="G8" s="95">
        <v>500000</v>
      </c>
      <c r="H8" s="95"/>
      <c r="I8" s="95">
        <v>100000</v>
      </c>
      <c r="J8" s="95"/>
      <c r="K8" s="95">
        <v>50000</v>
      </c>
      <c r="L8" s="95"/>
      <c r="M8" s="95">
        <v>45000</v>
      </c>
      <c r="N8" s="95"/>
      <c r="O8" s="95">
        <v>65000</v>
      </c>
      <c r="P8" s="117"/>
      <c r="Q8" s="117"/>
      <c r="R8" s="117"/>
      <c r="S8" s="118">
        <v>4</v>
      </c>
      <c r="T8" s="111">
        <v>0.7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</row>
    <row r="9" spans="2:42" s="116" customFormat="1" x14ac:dyDescent="0.25">
      <c r="B9" s="119" t="s">
        <v>20</v>
      </c>
      <c r="C9" s="119"/>
      <c r="D9" s="122">
        <f t="shared" ref="D9" si="0">D8</f>
        <v>5920</v>
      </c>
      <c r="E9" s="122">
        <f>E8</f>
        <v>250000</v>
      </c>
      <c r="F9" s="122"/>
      <c r="G9" s="122">
        <f>G8</f>
        <v>500000</v>
      </c>
      <c r="H9" s="122"/>
      <c r="I9" s="122">
        <f>I8</f>
        <v>100000</v>
      </c>
      <c r="J9" s="122"/>
      <c r="K9" s="122">
        <f>K8</f>
        <v>50000</v>
      </c>
      <c r="L9" s="122"/>
      <c r="M9" s="122">
        <f>M8</f>
        <v>45000</v>
      </c>
      <c r="N9" s="122"/>
      <c r="O9" s="122">
        <f>O8</f>
        <v>65000</v>
      </c>
      <c r="P9" s="117"/>
      <c r="Q9" s="117"/>
      <c r="R9" s="117"/>
      <c r="S9" s="118">
        <v>5</v>
      </c>
      <c r="T9" s="111">
        <v>0.6</v>
      </c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</row>
    <row r="10" spans="2:42" s="116" customFormat="1" x14ac:dyDescent="0.25"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17"/>
      <c r="Q10" s="117"/>
      <c r="R10" s="117"/>
      <c r="S10" s="118">
        <v>6</v>
      </c>
      <c r="T10" s="111">
        <v>0.5</v>
      </c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</row>
    <row r="11" spans="2:42" s="116" customFormat="1" x14ac:dyDescent="0.25">
      <c r="B11" s="116" t="s">
        <v>21</v>
      </c>
      <c r="D11" s="95">
        <v>0</v>
      </c>
      <c r="E11" s="95">
        <v>50000</v>
      </c>
      <c r="F11" s="95"/>
      <c r="G11" s="95">
        <v>0</v>
      </c>
      <c r="H11" s="95"/>
      <c r="I11" s="95">
        <v>0</v>
      </c>
      <c r="J11" s="95"/>
      <c r="K11" s="95">
        <v>0</v>
      </c>
      <c r="L11" s="95"/>
      <c r="M11" s="95">
        <v>0</v>
      </c>
      <c r="N11" s="95"/>
      <c r="O11" s="95">
        <v>0</v>
      </c>
      <c r="P11" s="117"/>
      <c r="Q11" s="117"/>
      <c r="R11" s="117"/>
      <c r="S11" s="118">
        <v>7</v>
      </c>
      <c r="T11" s="111">
        <v>0.4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</row>
    <row r="12" spans="2:42" s="116" customFormat="1" x14ac:dyDescent="0.25">
      <c r="B12" s="116" t="s">
        <v>22</v>
      </c>
      <c r="D12" s="95">
        <v>0</v>
      </c>
      <c r="E12" s="95">
        <v>0</v>
      </c>
      <c r="F12" s="95"/>
      <c r="G12" s="95">
        <v>100000</v>
      </c>
      <c r="H12" s="95"/>
      <c r="I12" s="95">
        <v>0</v>
      </c>
      <c r="J12" s="95"/>
      <c r="K12" s="95">
        <v>0</v>
      </c>
      <c r="L12" s="95"/>
      <c r="M12" s="95">
        <v>0</v>
      </c>
      <c r="N12" s="95"/>
      <c r="O12" s="95">
        <v>0</v>
      </c>
      <c r="P12" s="117"/>
      <c r="Q12" s="117"/>
      <c r="R12" s="117"/>
      <c r="S12" s="118">
        <v>8</v>
      </c>
      <c r="T12" s="111">
        <v>0.3</v>
      </c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</row>
    <row r="13" spans="2:42" s="116" customFormat="1" x14ac:dyDescent="0.25">
      <c r="B13" s="116" t="s">
        <v>23</v>
      </c>
      <c r="D13" s="95">
        <f>'[1]4. Cedula IETU'!B10</f>
        <v>0</v>
      </c>
      <c r="E13" s="95">
        <v>50000</v>
      </c>
      <c r="F13" s="95"/>
      <c r="G13" s="95">
        <v>20000</v>
      </c>
      <c r="H13" s="95"/>
      <c r="I13" s="95">
        <v>45000</v>
      </c>
      <c r="J13" s="95"/>
      <c r="K13" s="95">
        <v>35000</v>
      </c>
      <c r="L13" s="95"/>
      <c r="M13" s="95">
        <v>30000</v>
      </c>
      <c r="N13" s="95"/>
      <c r="O13" s="95">
        <v>60000</v>
      </c>
      <c r="P13" s="117"/>
      <c r="Q13" s="117"/>
      <c r="R13" s="117"/>
      <c r="S13" s="118">
        <v>9</v>
      </c>
      <c r="T13" s="111">
        <v>0.2</v>
      </c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</row>
    <row r="14" spans="2:42" s="116" customFormat="1" x14ac:dyDescent="0.25">
      <c r="B14" s="119" t="s">
        <v>24</v>
      </c>
      <c r="C14" s="122">
        <f t="shared" ref="C14:D14" si="1">SUM(C11:C13)</f>
        <v>0</v>
      </c>
      <c r="D14" s="122">
        <f t="shared" si="1"/>
        <v>0</v>
      </c>
      <c r="E14" s="122">
        <f>SUM(E11:E13)</f>
        <v>100000</v>
      </c>
      <c r="F14" s="122"/>
      <c r="G14" s="122">
        <f>SUM(G11:G13)</f>
        <v>120000</v>
      </c>
      <c r="H14" s="122"/>
      <c r="I14" s="122">
        <f>SUM(I11:I13)</f>
        <v>45000</v>
      </c>
      <c r="J14" s="122"/>
      <c r="K14" s="122">
        <f>SUM(K11:K13)</f>
        <v>35000</v>
      </c>
      <c r="L14" s="122"/>
      <c r="M14" s="122">
        <f>SUM(M11:M13)</f>
        <v>30000</v>
      </c>
      <c r="N14" s="122"/>
      <c r="O14" s="122">
        <f>SUM(O11:O13)</f>
        <v>60000</v>
      </c>
      <c r="P14" s="117"/>
      <c r="Q14" s="123"/>
      <c r="R14" s="117"/>
      <c r="S14" s="118">
        <v>10</v>
      </c>
      <c r="T14" s="111">
        <v>0.1</v>
      </c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</row>
    <row r="15" spans="2:42" s="116" customFormat="1" x14ac:dyDescent="0.25">
      <c r="B15" s="119"/>
      <c r="C15" s="122"/>
      <c r="D15" s="122">
        <f>D9-D14</f>
        <v>5920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17"/>
      <c r="Q15" s="123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</row>
    <row r="16" spans="2:42" s="116" customFormat="1" ht="15.75" thickBot="1" x14ac:dyDescent="0.3">
      <c r="B16" s="119" t="s">
        <v>25</v>
      </c>
      <c r="C16" s="122"/>
      <c r="D16" s="122"/>
      <c r="E16" s="124">
        <v>0</v>
      </c>
      <c r="F16" s="124"/>
      <c r="G16" s="124">
        <v>0</v>
      </c>
      <c r="H16" s="124"/>
      <c r="I16" s="124">
        <v>0</v>
      </c>
      <c r="J16" s="124"/>
      <c r="K16" s="124">
        <v>0</v>
      </c>
      <c r="L16" s="124"/>
      <c r="M16" s="124">
        <v>0</v>
      </c>
      <c r="N16" s="124"/>
      <c r="O16" s="124"/>
      <c r="P16" s="117"/>
      <c r="Q16" s="123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</row>
    <row r="17" spans="2:42" s="117" customFormat="1" ht="15.75" thickBot="1" x14ac:dyDescent="0.3">
      <c r="B17" s="125" t="s">
        <v>26</v>
      </c>
      <c r="C17" s="126"/>
      <c r="D17" s="126"/>
      <c r="E17" s="136">
        <f>IF((E9-E14)&gt;0,E9-E14,0)</f>
        <v>150000</v>
      </c>
      <c r="F17" s="137"/>
      <c r="G17" s="137">
        <f>IF((G9-G14)&lt;0,0,G9-G14)</f>
        <v>380000</v>
      </c>
      <c r="H17" s="137"/>
      <c r="I17" s="137">
        <f>IF((I9-I14)&lt;0,0,I9-I14)</f>
        <v>55000</v>
      </c>
      <c r="J17" s="137"/>
      <c r="K17" s="137">
        <f>IF((K9-K14)&lt;0,0,K9-K14)</f>
        <v>15000</v>
      </c>
      <c r="L17" s="137"/>
      <c r="M17" s="137">
        <f>IF((M9-M14)&lt;0,0,M9-M14)</f>
        <v>15000</v>
      </c>
      <c r="N17" s="137"/>
      <c r="O17" s="138">
        <f>IF((O9-O14)&lt;0,0,O9-O14)</f>
        <v>5000</v>
      </c>
    </row>
    <row r="18" spans="2:42" s="116" customFormat="1" x14ac:dyDescent="0.25"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</row>
    <row r="19" spans="2:42" s="116" customFormat="1" x14ac:dyDescent="0.25">
      <c r="B19" s="127" t="s">
        <v>27</v>
      </c>
      <c r="D19" s="95"/>
      <c r="E19" s="95">
        <v>0</v>
      </c>
      <c r="F19" s="95"/>
      <c r="G19" s="95">
        <f>IF(IF(E17&gt;0,(E19+E17),(E9-E14+E19))&gt;0,0,IF(E17&gt;0,(E19+E17),(E9-E14+E19)))</f>
        <v>0</v>
      </c>
      <c r="H19" s="95"/>
      <c r="I19" s="95">
        <f>IF(IF(G17&gt;0,(G19+G17),(G9-G14+G19))&gt;0,0,IF(G17&gt;0,(G19+G17),(G9-G14+G19)))</f>
        <v>0</v>
      </c>
      <c r="J19" s="95"/>
      <c r="K19" s="95">
        <f>IF(IF(I17&gt;0,(I19+I17),(I9-I14+I19))&gt;0,0,IF(I17&gt;0,(I19+I17),(I9-I14+I19)))</f>
        <v>0</v>
      </c>
      <c r="L19" s="95"/>
      <c r="M19" s="95">
        <f>IF(IF(K17&gt;0,(K19+K17),(K9-K14+K19))&gt;0,0,IF(K17&gt;0,(K19+K17),(K9-K14+K19)))</f>
        <v>0</v>
      </c>
      <c r="N19" s="95"/>
      <c r="O19" s="95">
        <f>IF(IF(M17&gt;0,(M19+M17),(M9-M14+M19))&gt;0,0,IF(M17&gt;0,(M19+M17),(M9-M14+M19)))</f>
        <v>0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</row>
    <row r="20" spans="2:42" s="116" customFormat="1" ht="15.75" thickBot="1" x14ac:dyDescent="0.3"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</row>
    <row r="21" spans="2:42" s="116" customFormat="1" ht="15.75" thickBot="1" x14ac:dyDescent="0.3">
      <c r="B21" s="119" t="s">
        <v>28</v>
      </c>
      <c r="C21" s="128">
        <f t="shared" ref="C21:D21" si="2">IF((C9-C14+C19)&gt;0,(C9-C14+C19),0)</f>
        <v>0</v>
      </c>
      <c r="D21" s="139">
        <f t="shared" si="2"/>
        <v>5920</v>
      </c>
      <c r="E21" s="140">
        <f>IF((E9-E14+E19)&gt;0,(E9-E14+E19),0)</f>
        <v>150000</v>
      </c>
      <c r="F21" s="141"/>
      <c r="G21" s="141">
        <f>IF((G9-G14+G19)&gt;0,(G9-G14+G19),0)</f>
        <v>380000</v>
      </c>
      <c r="H21" s="141"/>
      <c r="I21" s="141">
        <f>IF((I9-I14+I19)&gt;0,(I9-I14+I19),0)</f>
        <v>55000</v>
      </c>
      <c r="J21" s="141"/>
      <c r="K21" s="141">
        <f>IF((K9-K14+K19)&gt;0,(K9-K14+K19),0)</f>
        <v>15000</v>
      </c>
      <c r="L21" s="141"/>
      <c r="M21" s="141">
        <f>IF((M9-M14+M19)&gt;0,(M9-M14+M19),0)</f>
        <v>15000</v>
      </c>
      <c r="N21" s="141"/>
      <c r="O21" s="142">
        <f>IF((O9-O14+O19)&gt;0,(O9-O14+O19),0)</f>
        <v>5000</v>
      </c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</row>
    <row r="22" spans="2:42" s="116" customFormat="1" x14ac:dyDescent="0.25"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</row>
    <row r="23" spans="2:42" s="129" customFormat="1" x14ac:dyDescent="0.25">
      <c r="B23" s="130" t="s">
        <v>29</v>
      </c>
      <c r="D23" s="131">
        <f>IF(D21&gt;0,VLOOKUP(D21,'[1]Tablas de ISR'!A5:B15,1,1),0)</f>
        <v>4910.1899999999996</v>
      </c>
      <c r="E23" s="131">
        <f>IF(E21&gt;0,VLOOKUP(E21,TARIFAS!D11:G21,1,1),0)</f>
        <v>98466.01</v>
      </c>
      <c r="F23" s="131"/>
      <c r="G23" s="131">
        <f>VLOOKUP(G21,TARIFAS!D11:G21,1,1)</f>
        <v>250650.41</v>
      </c>
      <c r="H23" s="131"/>
      <c r="I23" s="131">
        <f>VLOOKUP(I21,TARIFAS!D11:G21,1,1)</f>
        <v>30975.429999999997</v>
      </c>
      <c r="J23" s="131"/>
      <c r="K23" s="131">
        <f>VLOOKUP(K21,TARIFAS!D11:G21,1,1)</f>
        <v>12664.11</v>
      </c>
      <c r="L23" s="131"/>
      <c r="M23" s="131">
        <f>VLOOKUP(M21,TARIFAS!D11:G21,1,1)</f>
        <v>12664.11</v>
      </c>
      <c r="N23" s="131"/>
      <c r="O23" s="131">
        <f>VLOOKUP(O21,TARIFAS!D11:G21,1,1)</f>
        <v>1492.09</v>
      </c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</row>
    <row r="24" spans="2:42" s="116" customFormat="1" x14ac:dyDescent="0.25"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</row>
    <row r="25" spans="2:42" s="116" customFormat="1" ht="15.75" thickBot="1" x14ac:dyDescent="0.3">
      <c r="B25" s="127" t="s">
        <v>30</v>
      </c>
      <c r="D25" s="98">
        <f t="shared" ref="D25" si="3">D21-D23</f>
        <v>1009.8100000000004</v>
      </c>
      <c r="E25" s="98">
        <f>E21-E23</f>
        <v>51533.990000000005</v>
      </c>
      <c r="F25" s="98"/>
      <c r="G25" s="98">
        <f>G21-G23</f>
        <v>129349.59</v>
      </c>
      <c r="H25" s="98"/>
      <c r="I25" s="98">
        <f>I21-I23</f>
        <v>24024.570000000003</v>
      </c>
      <c r="J25" s="98"/>
      <c r="K25" s="98">
        <f>K21-K23</f>
        <v>2335.8899999999994</v>
      </c>
      <c r="L25" s="98"/>
      <c r="M25" s="98">
        <f>M21-M23</f>
        <v>2335.8899999999994</v>
      </c>
      <c r="N25" s="98"/>
      <c r="O25" s="98">
        <f>O21-O23</f>
        <v>3507.91</v>
      </c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</row>
    <row r="26" spans="2:42" s="116" customFormat="1" ht="15.75" thickTop="1" x14ac:dyDescent="0.25"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</row>
    <row r="27" spans="2:42" s="129" customFormat="1" x14ac:dyDescent="0.25">
      <c r="B27" s="130" t="s">
        <v>31</v>
      </c>
      <c r="D27" s="132">
        <f>IF(D21&gt;0,VLOOKUP(D31,'[1]Tablas de ISR'!C5:D15,2,0),0)</f>
        <v>0.10879999999999999</v>
      </c>
      <c r="E27" s="132">
        <f>VLOOKUP(E21,TARIFAS!D11:G21,4,1)</f>
        <v>0.3</v>
      </c>
      <c r="F27" s="132"/>
      <c r="G27" s="132">
        <f>VLOOKUP(G21,TARIFAS!D11:G21,4,1)</f>
        <v>0.34</v>
      </c>
      <c r="H27" s="132"/>
      <c r="I27" s="132">
        <f>VLOOKUP(I21,TARIFAS!D11:G21,4,1)</f>
        <v>0.21359999999999998</v>
      </c>
      <c r="J27" s="132"/>
      <c r="K27" s="132">
        <f>VLOOKUP(K21,TARIFAS!D11:G21,4,1)</f>
        <v>0.10880000000000001</v>
      </c>
      <c r="L27" s="132"/>
      <c r="M27" s="132">
        <f>VLOOKUP(M21,TARIFAS!D11:G21,4,1)</f>
        <v>0.10880000000000001</v>
      </c>
      <c r="N27" s="132"/>
      <c r="O27" s="132">
        <f>VLOOKUP(O21,TARIFAS!D11:G21,4,1)</f>
        <v>6.4000000000000001E-2</v>
      </c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</row>
    <row r="28" spans="2:42" s="116" customFormat="1" x14ac:dyDescent="0.25"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</row>
    <row r="29" spans="2:42" s="116" customFormat="1" ht="15.75" thickBot="1" x14ac:dyDescent="0.3">
      <c r="B29" s="127" t="s">
        <v>32</v>
      </c>
      <c r="D29" s="98">
        <f t="shared" ref="D29" si="4">D25*D27</f>
        <v>109.86732800000004</v>
      </c>
      <c r="E29" s="98">
        <f>E25*E27</f>
        <v>15460.197</v>
      </c>
      <c r="F29" s="98"/>
      <c r="G29" s="98">
        <f>G25*G27</f>
        <v>43978.8606</v>
      </c>
      <c r="H29" s="98"/>
      <c r="I29" s="98">
        <f>I25*I27</f>
        <v>5131.6481520000007</v>
      </c>
      <c r="J29" s="98"/>
      <c r="K29" s="98">
        <f>K25*K27</f>
        <v>254.14483199999995</v>
      </c>
      <c r="L29" s="98"/>
      <c r="M29" s="98">
        <f>M25*M27</f>
        <v>254.14483199999995</v>
      </c>
      <c r="N29" s="98"/>
      <c r="O29" s="98">
        <f>O25*O27</f>
        <v>224.50623999999999</v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</row>
    <row r="30" spans="2:42" s="116" customFormat="1" ht="15.75" thickTop="1" x14ac:dyDescent="0.25"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</row>
    <row r="31" spans="2:42" s="129" customFormat="1" x14ac:dyDescent="0.25">
      <c r="B31" s="130" t="s">
        <v>33</v>
      </c>
      <c r="D31" s="131">
        <f>IF(D21&gt;0,VLOOKUP(D21,'[1]Tablas de ISR'!A5:C15,3,1),0)</f>
        <v>288.33</v>
      </c>
      <c r="E31" s="131">
        <f>VLOOKUP(E21,TARIFAS!D11:G21,3,1)</f>
        <v>18473.78</v>
      </c>
      <c r="F31" s="131"/>
      <c r="G31" s="131">
        <f>VLOOKUP(G21,TARIFAS!D11:G21,3,1)</f>
        <v>65382.36</v>
      </c>
      <c r="H31" s="131"/>
      <c r="I31" s="131">
        <f>VLOOKUP(I21,TARIFAS!D11:G21,3,1)</f>
        <v>3280.36</v>
      </c>
      <c r="J31" s="131"/>
      <c r="K31" s="131">
        <f>VLOOKUP(K21,TARIFAS!D11:G21,3,1)</f>
        <v>743.66</v>
      </c>
      <c r="L31" s="131"/>
      <c r="M31" s="131">
        <f>VLOOKUP(M21,TARIFAS!D11:G21,3,1)</f>
        <v>743.66</v>
      </c>
      <c r="N31" s="131"/>
      <c r="O31" s="131">
        <f>VLOOKUP(O21,TARIFAS!D11:G21,3,1)</f>
        <v>28.64</v>
      </c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</row>
    <row r="32" spans="2:42" s="116" customFormat="1" x14ac:dyDescent="0.25"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</row>
    <row r="33" spans="2:42" s="117" customFormat="1" ht="15.75" thickBot="1" x14ac:dyDescent="0.3">
      <c r="B33" s="133" t="s">
        <v>34</v>
      </c>
      <c r="D33" s="99">
        <f t="shared" ref="D33" si="5">D29+D31</f>
        <v>398.19732800000003</v>
      </c>
      <c r="E33" s="99">
        <f>E29+E31</f>
        <v>33933.976999999999</v>
      </c>
      <c r="F33" s="99"/>
      <c r="G33" s="99">
        <f>G29+G31</f>
        <v>109361.2206</v>
      </c>
      <c r="H33" s="99"/>
      <c r="I33" s="99">
        <f>I29+I31</f>
        <v>8412.0081520000003</v>
      </c>
      <c r="J33" s="99"/>
      <c r="K33" s="99">
        <f>K29+K31</f>
        <v>997.80483199999992</v>
      </c>
      <c r="L33" s="99"/>
      <c r="M33" s="99">
        <f>M29+M31</f>
        <v>997.80483199999992</v>
      </c>
      <c r="N33" s="99"/>
      <c r="O33" s="99">
        <f>O29+O31</f>
        <v>253.14623999999998</v>
      </c>
    </row>
    <row r="34" spans="2:42" s="116" customFormat="1" ht="15.75" thickTop="1" x14ac:dyDescent="0.25"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</row>
    <row r="35" spans="2:42" s="116" customFormat="1" x14ac:dyDescent="0.25">
      <c r="B35" s="127" t="s">
        <v>197</v>
      </c>
      <c r="D35" s="95"/>
      <c r="E35" s="100">
        <f>VLOOKUP(E4,S5:T14,2,1)</f>
        <v>0.9</v>
      </c>
      <c r="F35" s="100"/>
      <c r="G35" s="100">
        <f>E35</f>
        <v>0.9</v>
      </c>
      <c r="H35" s="100"/>
      <c r="I35" s="100">
        <f>G35</f>
        <v>0.9</v>
      </c>
      <c r="J35" s="100"/>
      <c r="K35" s="100">
        <f>I35</f>
        <v>0.9</v>
      </c>
      <c r="L35" s="100"/>
      <c r="M35" s="100">
        <f>K35</f>
        <v>0.9</v>
      </c>
      <c r="N35" s="100"/>
      <c r="O35" s="100">
        <f>M35</f>
        <v>0.9</v>
      </c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</row>
    <row r="36" spans="2:42" s="116" customFormat="1" x14ac:dyDescent="0.25"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</row>
    <row r="37" spans="2:42" s="116" customFormat="1" x14ac:dyDescent="0.25">
      <c r="B37" s="127" t="s">
        <v>35</v>
      </c>
      <c r="D37" s="95">
        <v>0</v>
      </c>
      <c r="E37" s="95">
        <f>E33*E35</f>
        <v>30540.579300000001</v>
      </c>
      <c r="F37" s="95"/>
      <c r="G37" s="95">
        <f>G33*G35</f>
        <v>98425.098540000006</v>
      </c>
      <c r="H37" s="95"/>
      <c r="I37" s="95">
        <f>I33*I35</f>
        <v>7570.8073368000005</v>
      </c>
      <c r="J37" s="95"/>
      <c r="K37" s="95">
        <f>K33*K35</f>
        <v>898.02434879999998</v>
      </c>
      <c r="L37" s="95"/>
      <c r="M37" s="95">
        <f>M33*M35</f>
        <v>898.02434879999998</v>
      </c>
      <c r="N37" s="95"/>
      <c r="O37" s="95">
        <f>O33*O35</f>
        <v>227.831616</v>
      </c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</row>
    <row r="38" spans="2:42" s="116" customFormat="1" ht="15.75" thickBot="1" x14ac:dyDescent="0.3">
      <c r="C38" s="119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</row>
    <row r="39" spans="2:42" s="116" customFormat="1" ht="15.75" thickBot="1" x14ac:dyDescent="0.3">
      <c r="B39" s="119" t="s">
        <v>36</v>
      </c>
      <c r="C39" s="134">
        <v>1</v>
      </c>
      <c r="D39" s="135" t="e">
        <f>IF((D33-#REF!-#REF!-D37)&gt;0,D33-#REF!-#REF!-D37,0)</f>
        <v>#REF!</v>
      </c>
      <c r="E39" s="135">
        <f>IF((E33-E37)&gt;0,E33-E37,0)</f>
        <v>3393.3976999999977</v>
      </c>
      <c r="F39" s="135"/>
      <c r="G39" s="135">
        <f>IF((G33-G37)&gt;0,G33-G37,0)</f>
        <v>10936.122059999994</v>
      </c>
      <c r="H39" s="135"/>
      <c r="I39" s="135">
        <f>IF((I33-I37)&gt;0,I33-I37,0)</f>
        <v>841.20081519999985</v>
      </c>
      <c r="J39" s="135"/>
      <c r="K39" s="135">
        <f>IF((K33-K37)&gt;0,K33-K37,0)</f>
        <v>99.780483199999935</v>
      </c>
      <c r="L39" s="135"/>
      <c r="M39" s="135">
        <f>IF((M33-M37)&gt;0,M33-M37,0)</f>
        <v>99.780483199999935</v>
      </c>
      <c r="N39" s="135"/>
      <c r="O39" s="135">
        <f>IF((O33-O37)&gt;0,O33-O37,0)</f>
        <v>25.314623999999981</v>
      </c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</row>
    <row r="40" spans="2:42" s="102" customFormat="1" ht="12.75" x14ac:dyDescent="0.2">
      <c r="C40" s="101">
        <v>2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</row>
    <row r="41" spans="2:42" s="102" customFormat="1" ht="12.75" x14ac:dyDescent="0.2">
      <c r="C41" s="101">
        <v>3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</row>
    <row r="42" spans="2:42" s="102" customFormat="1" ht="12.75" x14ac:dyDescent="0.2">
      <c r="C42" s="101">
        <v>4</v>
      </c>
      <c r="K42" s="105"/>
      <c r="L42" s="105"/>
      <c r="M42" s="105"/>
      <c r="O42" s="106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</row>
    <row r="43" spans="2:42" s="107" customFormat="1" ht="11.25" x14ac:dyDescent="0.2">
      <c r="D43" s="108" t="s">
        <v>7</v>
      </c>
      <c r="E43" s="108" t="s">
        <v>37</v>
      </c>
      <c r="G43" s="107" t="s">
        <v>38</v>
      </c>
      <c r="I43" s="107" t="s">
        <v>39</v>
      </c>
      <c r="K43" s="107" t="s">
        <v>40</v>
      </c>
      <c r="L43" s="107" t="s">
        <v>15</v>
      </c>
      <c r="M43" s="107" t="s">
        <v>41</v>
      </c>
      <c r="N43" s="107" t="s">
        <v>17</v>
      </c>
      <c r="O43" s="107" t="s">
        <v>42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</row>
    <row r="44" spans="2:42" s="102" customFormat="1" ht="12.75" x14ac:dyDescent="0.2">
      <c r="C44" s="101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</row>
    <row r="45" spans="2:42" x14ac:dyDescent="0.25">
      <c r="C45" s="94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42" x14ac:dyDescent="0.25">
      <c r="C46" s="94"/>
    </row>
  </sheetData>
  <mergeCells count="9">
    <mergeCell ref="K42:M42"/>
    <mergeCell ref="E1:O1"/>
    <mergeCell ref="E2:O2"/>
    <mergeCell ref="D6:E6"/>
    <mergeCell ref="F6:G6"/>
    <mergeCell ref="H6:I6"/>
    <mergeCell ref="J6:K6"/>
    <mergeCell ref="L6:M6"/>
    <mergeCell ref="N6:O6"/>
  </mergeCells>
  <conditionalFormatting sqref="E19:O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opLeftCell="B1" workbookViewId="0">
      <selection activeCell="M12" sqref="M12"/>
    </sheetView>
  </sheetViews>
  <sheetFormatPr baseColWidth="10" defaultColWidth="9.140625" defaultRowHeight="15" x14ac:dyDescent="0.25"/>
  <cols>
    <col min="1" max="1" width="13" hidden="1" customWidth="1"/>
    <col min="2" max="2" width="27.42578125" bestFit="1" customWidth="1"/>
    <col min="3" max="15" width="12.140625" customWidth="1"/>
    <col min="257" max="257" width="13" customWidth="1"/>
    <col min="258" max="258" width="27.42578125" bestFit="1" customWidth="1"/>
    <col min="259" max="259" width="12.28515625" bestFit="1" customWidth="1"/>
    <col min="260" max="270" width="11.42578125" customWidth="1"/>
    <col min="271" max="271" width="12.28515625" bestFit="1" customWidth="1"/>
    <col min="513" max="513" width="13" customWidth="1"/>
    <col min="514" max="514" width="27.42578125" bestFit="1" customWidth="1"/>
    <col min="515" max="515" width="12.28515625" bestFit="1" customWidth="1"/>
    <col min="516" max="526" width="11.42578125" customWidth="1"/>
    <col min="527" max="527" width="12.28515625" bestFit="1" customWidth="1"/>
    <col min="769" max="769" width="13" customWidth="1"/>
    <col min="770" max="770" width="27.42578125" bestFit="1" customWidth="1"/>
    <col min="771" max="771" width="12.28515625" bestFit="1" customWidth="1"/>
    <col min="772" max="782" width="11.42578125" customWidth="1"/>
    <col min="783" max="783" width="12.28515625" bestFit="1" customWidth="1"/>
    <col min="1025" max="1025" width="13" customWidth="1"/>
    <col min="1026" max="1026" width="27.42578125" bestFit="1" customWidth="1"/>
    <col min="1027" max="1027" width="12.28515625" bestFit="1" customWidth="1"/>
    <col min="1028" max="1038" width="11.42578125" customWidth="1"/>
    <col min="1039" max="1039" width="12.28515625" bestFit="1" customWidth="1"/>
    <col min="1281" max="1281" width="13" customWidth="1"/>
    <col min="1282" max="1282" width="27.42578125" bestFit="1" customWidth="1"/>
    <col min="1283" max="1283" width="12.28515625" bestFit="1" customWidth="1"/>
    <col min="1284" max="1294" width="11.42578125" customWidth="1"/>
    <col min="1295" max="1295" width="12.28515625" bestFit="1" customWidth="1"/>
    <col min="1537" max="1537" width="13" customWidth="1"/>
    <col min="1538" max="1538" width="27.42578125" bestFit="1" customWidth="1"/>
    <col min="1539" max="1539" width="12.28515625" bestFit="1" customWidth="1"/>
    <col min="1540" max="1550" width="11.42578125" customWidth="1"/>
    <col min="1551" max="1551" width="12.28515625" bestFit="1" customWidth="1"/>
    <col min="1793" max="1793" width="13" customWidth="1"/>
    <col min="1794" max="1794" width="27.42578125" bestFit="1" customWidth="1"/>
    <col min="1795" max="1795" width="12.28515625" bestFit="1" customWidth="1"/>
    <col min="1796" max="1806" width="11.42578125" customWidth="1"/>
    <col min="1807" max="1807" width="12.28515625" bestFit="1" customWidth="1"/>
    <col min="2049" max="2049" width="13" customWidth="1"/>
    <col min="2050" max="2050" width="27.42578125" bestFit="1" customWidth="1"/>
    <col min="2051" max="2051" width="12.28515625" bestFit="1" customWidth="1"/>
    <col min="2052" max="2062" width="11.42578125" customWidth="1"/>
    <col min="2063" max="2063" width="12.28515625" bestFit="1" customWidth="1"/>
    <col min="2305" max="2305" width="13" customWidth="1"/>
    <col min="2306" max="2306" width="27.42578125" bestFit="1" customWidth="1"/>
    <col min="2307" max="2307" width="12.28515625" bestFit="1" customWidth="1"/>
    <col min="2308" max="2318" width="11.42578125" customWidth="1"/>
    <col min="2319" max="2319" width="12.28515625" bestFit="1" customWidth="1"/>
    <col min="2561" max="2561" width="13" customWidth="1"/>
    <col min="2562" max="2562" width="27.42578125" bestFit="1" customWidth="1"/>
    <col min="2563" max="2563" width="12.28515625" bestFit="1" customWidth="1"/>
    <col min="2564" max="2574" width="11.42578125" customWidth="1"/>
    <col min="2575" max="2575" width="12.28515625" bestFit="1" customWidth="1"/>
    <col min="2817" max="2817" width="13" customWidth="1"/>
    <col min="2818" max="2818" width="27.42578125" bestFit="1" customWidth="1"/>
    <col min="2819" max="2819" width="12.28515625" bestFit="1" customWidth="1"/>
    <col min="2820" max="2830" width="11.42578125" customWidth="1"/>
    <col min="2831" max="2831" width="12.28515625" bestFit="1" customWidth="1"/>
    <col min="3073" max="3073" width="13" customWidth="1"/>
    <col min="3074" max="3074" width="27.42578125" bestFit="1" customWidth="1"/>
    <col min="3075" max="3075" width="12.28515625" bestFit="1" customWidth="1"/>
    <col min="3076" max="3086" width="11.42578125" customWidth="1"/>
    <col min="3087" max="3087" width="12.28515625" bestFit="1" customWidth="1"/>
    <col min="3329" max="3329" width="13" customWidth="1"/>
    <col min="3330" max="3330" width="27.42578125" bestFit="1" customWidth="1"/>
    <col min="3331" max="3331" width="12.28515625" bestFit="1" customWidth="1"/>
    <col min="3332" max="3342" width="11.42578125" customWidth="1"/>
    <col min="3343" max="3343" width="12.28515625" bestFit="1" customWidth="1"/>
    <col min="3585" max="3585" width="13" customWidth="1"/>
    <col min="3586" max="3586" width="27.42578125" bestFit="1" customWidth="1"/>
    <col min="3587" max="3587" width="12.28515625" bestFit="1" customWidth="1"/>
    <col min="3588" max="3598" width="11.42578125" customWidth="1"/>
    <col min="3599" max="3599" width="12.28515625" bestFit="1" customWidth="1"/>
    <col min="3841" max="3841" width="13" customWidth="1"/>
    <col min="3842" max="3842" width="27.42578125" bestFit="1" customWidth="1"/>
    <col min="3843" max="3843" width="12.28515625" bestFit="1" customWidth="1"/>
    <col min="3844" max="3854" width="11.42578125" customWidth="1"/>
    <col min="3855" max="3855" width="12.28515625" bestFit="1" customWidth="1"/>
    <col min="4097" max="4097" width="13" customWidth="1"/>
    <col min="4098" max="4098" width="27.42578125" bestFit="1" customWidth="1"/>
    <col min="4099" max="4099" width="12.28515625" bestFit="1" customWidth="1"/>
    <col min="4100" max="4110" width="11.42578125" customWidth="1"/>
    <col min="4111" max="4111" width="12.28515625" bestFit="1" customWidth="1"/>
    <col min="4353" max="4353" width="13" customWidth="1"/>
    <col min="4354" max="4354" width="27.42578125" bestFit="1" customWidth="1"/>
    <col min="4355" max="4355" width="12.28515625" bestFit="1" customWidth="1"/>
    <col min="4356" max="4366" width="11.42578125" customWidth="1"/>
    <col min="4367" max="4367" width="12.28515625" bestFit="1" customWidth="1"/>
    <col min="4609" max="4609" width="13" customWidth="1"/>
    <col min="4610" max="4610" width="27.42578125" bestFit="1" customWidth="1"/>
    <col min="4611" max="4611" width="12.28515625" bestFit="1" customWidth="1"/>
    <col min="4612" max="4622" width="11.42578125" customWidth="1"/>
    <col min="4623" max="4623" width="12.28515625" bestFit="1" customWidth="1"/>
    <col min="4865" max="4865" width="13" customWidth="1"/>
    <col min="4866" max="4866" width="27.42578125" bestFit="1" customWidth="1"/>
    <col min="4867" max="4867" width="12.28515625" bestFit="1" customWidth="1"/>
    <col min="4868" max="4878" width="11.42578125" customWidth="1"/>
    <col min="4879" max="4879" width="12.28515625" bestFit="1" customWidth="1"/>
    <col min="5121" max="5121" width="13" customWidth="1"/>
    <col min="5122" max="5122" width="27.42578125" bestFit="1" customWidth="1"/>
    <col min="5123" max="5123" width="12.28515625" bestFit="1" customWidth="1"/>
    <col min="5124" max="5134" width="11.42578125" customWidth="1"/>
    <col min="5135" max="5135" width="12.28515625" bestFit="1" customWidth="1"/>
    <col min="5377" max="5377" width="13" customWidth="1"/>
    <col min="5378" max="5378" width="27.42578125" bestFit="1" customWidth="1"/>
    <col min="5379" max="5379" width="12.28515625" bestFit="1" customWidth="1"/>
    <col min="5380" max="5390" width="11.42578125" customWidth="1"/>
    <col min="5391" max="5391" width="12.28515625" bestFit="1" customWidth="1"/>
    <col min="5633" max="5633" width="13" customWidth="1"/>
    <col min="5634" max="5634" width="27.42578125" bestFit="1" customWidth="1"/>
    <col min="5635" max="5635" width="12.28515625" bestFit="1" customWidth="1"/>
    <col min="5636" max="5646" width="11.42578125" customWidth="1"/>
    <col min="5647" max="5647" width="12.28515625" bestFit="1" customWidth="1"/>
    <col min="5889" max="5889" width="13" customWidth="1"/>
    <col min="5890" max="5890" width="27.42578125" bestFit="1" customWidth="1"/>
    <col min="5891" max="5891" width="12.28515625" bestFit="1" customWidth="1"/>
    <col min="5892" max="5902" width="11.42578125" customWidth="1"/>
    <col min="5903" max="5903" width="12.28515625" bestFit="1" customWidth="1"/>
    <col min="6145" max="6145" width="13" customWidth="1"/>
    <col min="6146" max="6146" width="27.42578125" bestFit="1" customWidth="1"/>
    <col min="6147" max="6147" width="12.28515625" bestFit="1" customWidth="1"/>
    <col min="6148" max="6158" width="11.42578125" customWidth="1"/>
    <col min="6159" max="6159" width="12.28515625" bestFit="1" customWidth="1"/>
    <col min="6401" max="6401" width="13" customWidth="1"/>
    <col min="6402" max="6402" width="27.42578125" bestFit="1" customWidth="1"/>
    <col min="6403" max="6403" width="12.28515625" bestFit="1" customWidth="1"/>
    <col min="6404" max="6414" width="11.42578125" customWidth="1"/>
    <col min="6415" max="6415" width="12.28515625" bestFit="1" customWidth="1"/>
    <col min="6657" max="6657" width="13" customWidth="1"/>
    <col min="6658" max="6658" width="27.42578125" bestFit="1" customWidth="1"/>
    <col min="6659" max="6659" width="12.28515625" bestFit="1" customWidth="1"/>
    <col min="6660" max="6670" width="11.42578125" customWidth="1"/>
    <col min="6671" max="6671" width="12.28515625" bestFit="1" customWidth="1"/>
    <col min="6913" max="6913" width="13" customWidth="1"/>
    <col min="6914" max="6914" width="27.42578125" bestFit="1" customWidth="1"/>
    <col min="6915" max="6915" width="12.28515625" bestFit="1" customWidth="1"/>
    <col min="6916" max="6926" width="11.42578125" customWidth="1"/>
    <col min="6927" max="6927" width="12.28515625" bestFit="1" customWidth="1"/>
    <col min="7169" max="7169" width="13" customWidth="1"/>
    <col min="7170" max="7170" width="27.42578125" bestFit="1" customWidth="1"/>
    <col min="7171" max="7171" width="12.28515625" bestFit="1" customWidth="1"/>
    <col min="7172" max="7182" width="11.42578125" customWidth="1"/>
    <col min="7183" max="7183" width="12.28515625" bestFit="1" customWidth="1"/>
    <col min="7425" max="7425" width="13" customWidth="1"/>
    <col min="7426" max="7426" width="27.42578125" bestFit="1" customWidth="1"/>
    <col min="7427" max="7427" width="12.28515625" bestFit="1" customWidth="1"/>
    <col min="7428" max="7438" width="11.42578125" customWidth="1"/>
    <col min="7439" max="7439" width="12.28515625" bestFit="1" customWidth="1"/>
    <col min="7681" max="7681" width="13" customWidth="1"/>
    <col min="7682" max="7682" width="27.42578125" bestFit="1" customWidth="1"/>
    <col min="7683" max="7683" width="12.28515625" bestFit="1" customWidth="1"/>
    <col min="7684" max="7694" width="11.42578125" customWidth="1"/>
    <col min="7695" max="7695" width="12.28515625" bestFit="1" customWidth="1"/>
    <col min="7937" max="7937" width="13" customWidth="1"/>
    <col min="7938" max="7938" width="27.42578125" bestFit="1" customWidth="1"/>
    <col min="7939" max="7939" width="12.28515625" bestFit="1" customWidth="1"/>
    <col min="7940" max="7950" width="11.42578125" customWidth="1"/>
    <col min="7951" max="7951" width="12.28515625" bestFit="1" customWidth="1"/>
    <col min="8193" max="8193" width="13" customWidth="1"/>
    <col min="8194" max="8194" width="27.42578125" bestFit="1" customWidth="1"/>
    <col min="8195" max="8195" width="12.28515625" bestFit="1" customWidth="1"/>
    <col min="8196" max="8206" width="11.42578125" customWidth="1"/>
    <col min="8207" max="8207" width="12.28515625" bestFit="1" customWidth="1"/>
    <col min="8449" max="8449" width="13" customWidth="1"/>
    <col min="8450" max="8450" width="27.42578125" bestFit="1" customWidth="1"/>
    <col min="8451" max="8451" width="12.28515625" bestFit="1" customWidth="1"/>
    <col min="8452" max="8462" width="11.42578125" customWidth="1"/>
    <col min="8463" max="8463" width="12.28515625" bestFit="1" customWidth="1"/>
    <col min="8705" max="8705" width="13" customWidth="1"/>
    <col min="8706" max="8706" width="27.42578125" bestFit="1" customWidth="1"/>
    <col min="8707" max="8707" width="12.28515625" bestFit="1" customWidth="1"/>
    <col min="8708" max="8718" width="11.42578125" customWidth="1"/>
    <col min="8719" max="8719" width="12.28515625" bestFit="1" customWidth="1"/>
    <col min="8961" max="8961" width="13" customWidth="1"/>
    <col min="8962" max="8962" width="27.42578125" bestFit="1" customWidth="1"/>
    <col min="8963" max="8963" width="12.28515625" bestFit="1" customWidth="1"/>
    <col min="8964" max="8974" width="11.42578125" customWidth="1"/>
    <col min="8975" max="8975" width="12.28515625" bestFit="1" customWidth="1"/>
    <col min="9217" max="9217" width="13" customWidth="1"/>
    <col min="9218" max="9218" width="27.42578125" bestFit="1" customWidth="1"/>
    <col min="9219" max="9219" width="12.28515625" bestFit="1" customWidth="1"/>
    <col min="9220" max="9230" width="11.42578125" customWidth="1"/>
    <col min="9231" max="9231" width="12.28515625" bestFit="1" customWidth="1"/>
    <col min="9473" max="9473" width="13" customWidth="1"/>
    <col min="9474" max="9474" width="27.42578125" bestFit="1" customWidth="1"/>
    <col min="9475" max="9475" width="12.28515625" bestFit="1" customWidth="1"/>
    <col min="9476" max="9486" width="11.42578125" customWidth="1"/>
    <col min="9487" max="9487" width="12.28515625" bestFit="1" customWidth="1"/>
    <col min="9729" max="9729" width="13" customWidth="1"/>
    <col min="9730" max="9730" width="27.42578125" bestFit="1" customWidth="1"/>
    <col min="9731" max="9731" width="12.28515625" bestFit="1" customWidth="1"/>
    <col min="9732" max="9742" width="11.42578125" customWidth="1"/>
    <col min="9743" max="9743" width="12.28515625" bestFit="1" customWidth="1"/>
    <col min="9985" max="9985" width="13" customWidth="1"/>
    <col min="9986" max="9986" width="27.42578125" bestFit="1" customWidth="1"/>
    <col min="9987" max="9987" width="12.28515625" bestFit="1" customWidth="1"/>
    <col min="9988" max="9998" width="11.42578125" customWidth="1"/>
    <col min="9999" max="9999" width="12.28515625" bestFit="1" customWidth="1"/>
    <col min="10241" max="10241" width="13" customWidth="1"/>
    <col min="10242" max="10242" width="27.42578125" bestFit="1" customWidth="1"/>
    <col min="10243" max="10243" width="12.28515625" bestFit="1" customWidth="1"/>
    <col min="10244" max="10254" width="11.42578125" customWidth="1"/>
    <col min="10255" max="10255" width="12.28515625" bestFit="1" customWidth="1"/>
    <col min="10497" max="10497" width="13" customWidth="1"/>
    <col min="10498" max="10498" width="27.42578125" bestFit="1" customWidth="1"/>
    <col min="10499" max="10499" width="12.28515625" bestFit="1" customWidth="1"/>
    <col min="10500" max="10510" width="11.42578125" customWidth="1"/>
    <col min="10511" max="10511" width="12.28515625" bestFit="1" customWidth="1"/>
    <col min="10753" max="10753" width="13" customWidth="1"/>
    <col min="10754" max="10754" width="27.42578125" bestFit="1" customWidth="1"/>
    <col min="10755" max="10755" width="12.28515625" bestFit="1" customWidth="1"/>
    <col min="10756" max="10766" width="11.42578125" customWidth="1"/>
    <col min="10767" max="10767" width="12.28515625" bestFit="1" customWidth="1"/>
    <col min="11009" max="11009" width="13" customWidth="1"/>
    <col min="11010" max="11010" width="27.42578125" bestFit="1" customWidth="1"/>
    <col min="11011" max="11011" width="12.28515625" bestFit="1" customWidth="1"/>
    <col min="11012" max="11022" width="11.42578125" customWidth="1"/>
    <col min="11023" max="11023" width="12.28515625" bestFit="1" customWidth="1"/>
    <col min="11265" max="11265" width="13" customWidth="1"/>
    <col min="11266" max="11266" width="27.42578125" bestFit="1" customWidth="1"/>
    <col min="11267" max="11267" width="12.28515625" bestFit="1" customWidth="1"/>
    <col min="11268" max="11278" width="11.42578125" customWidth="1"/>
    <col min="11279" max="11279" width="12.28515625" bestFit="1" customWidth="1"/>
    <col min="11521" max="11521" width="13" customWidth="1"/>
    <col min="11522" max="11522" width="27.42578125" bestFit="1" customWidth="1"/>
    <col min="11523" max="11523" width="12.28515625" bestFit="1" customWidth="1"/>
    <col min="11524" max="11534" width="11.42578125" customWidth="1"/>
    <col min="11535" max="11535" width="12.28515625" bestFit="1" customWidth="1"/>
    <col min="11777" max="11777" width="13" customWidth="1"/>
    <col min="11778" max="11778" width="27.42578125" bestFit="1" customWidth="1"/>
    <col min="11779" max="11779" width="12.28515625" bestFit="1" customWidth="1"/>
    <col min="11780" max="11790" width="11.42578125" customWidth="1"/>
    <col min="11791" max="11791" width="12.28515625" bestFit="1" customWidth="1"/>
    <col min="12033" max="12033" width="13" customWidth="1"/>
    <col min="12034" max="12034" width="27.42578125" bestFit="1" customWidth="1"/>
    <col min="12035" max="12035" width="12.28515625" bestFit="1" customWidth="1"/>
    <col min="12036" max="12046" width="11.42578125" customWidth="1"/>
    <col min="12047" max="12047" width="12.28515625" bestFit="1" customWidth="1"/>
    <col min="12289" max="12289" width="13" customWidth="1"/>
    <col min="12290" max="12290" width="27.42578125" bestFit="1" customWidth="1"/>
    <col min="12291" max="12291" width="12.28515625" bestFit="1" customWidth="1"/>
    <col min="12292" max="12302" width="11.42578125" customWidth="1"/>
    <col min="12303" max="12303" width="12.28515625" bestFit="1" customWidth="1"/>
    <col min="12545" max="12545" width="13" customWidth="1"/>
    <col min="12546" max="12546" width="27.42578125" bestFit="1" customWidth="1"/>
    <col min="12547" max="12547" width="12.28515625" bestFit="1" customWidth="1"/>
    <col min="12548" max="12558" width="11.42578125" customWidth="1"/>
    <col min="12559" max="12559" width="12.28515625" bestFit="1" customWidth="1"/>
    <col min="12801" max="12801" width="13" customWidth="1"/>
    <col min="12802" max="12802" width="27.42578125" bestFit="1" customWidth="1"/>
    <col min="12803" max="12803" width="12.28515625" bestFit="1" customWidth="1"/>
    <col min="12804" max="12814" width="11.42578125" customWidth="1"/>
    <col min="12815" max="12815" width="12.28515625" bestFit="1" customWidth="1"/>
    <col min="13057" max="13057" width="13" customWidth="1"/>
    <col min="13058" max="13058" width="27.42578125" bestFit="1" customWidth="1"/>
    <col min="13059" max="13059" width="12.28515625" bestFit="1" customWidth="1"/>
    <col min="13060" max="13070" width="11.42578125" customWidth="1"/>
    <col min="13071" max="13071" width="12.28515625" bestFit="1" customWidth="1"/>
    <col min="13313" max="13313" width="13" customWidth="1"/>
    <col min="13314" max="13314" width="27.42578125" bestFit="1" customWidth="1"/>
    <col min="13315" max="13315" width="12.28515625" bestFit="1" customWidth="1"/>
    <col min="13316" max="13326" width="11.42578125" customWidth="1"/>
    <col min="13327" max="13327" width="12.28515625" bestFit="1" customWidth="1"/>
    <col min="13569" max="13569" width="13" customWidth="1"/>
    <col min="13570" max="13570" width="27.42578125" bestFit="1" customWidth="1"/>
    <col min="13571" max="13571" width="12.28515625" bestFit="1" customWidth="1"/>
    <col min="13572" max="13582" width="11.42578125" customWidth="1"/>
    <col min="13583" max="13583" width="12.28515625" bestFit="1" customWidth="1"/>
    <col min="13825" max="13825" width="13" customWidth="1"/>
    <col min="13826" max="13826" width="27.42578125" bestFit="1" customWidth="1"/>
    <col min="13827" max="13827" width="12.28515625" bestFit="1" customWidth="1"/>
    <col min="13828" max="13838" width="11.42578125" customWidth="1"/>
    <col min="13839" max="13839" width="12.28515625" bestFit="1" customWidth="1"/>
    <col min="14081" max="14081" width="13" customWidth="1"/>
    <col min="14082" max="14082" width="27.42578125" bestFit="1" customWidth="1"/>
    <col min="14083" max="14083" width="12.28515625" bestFit="1" customWidth="1"/>
    <col min="14084" max="14094" width="11.42578125" customWidth="1"/>
    <col min="14095" max="14095" width="12.28515625" bestFit="1" customWidth="1"/>
    <col min="14337" max="14337" width="13" customWidth="1"/>
    <col min="14338" max="14338" width="27.42578125" bestFit="1" customWidth="1"/>
    <col min="14339" max="14339" width="12.28515625" bestFit="1" customWidth="1"/>
    <col min="14340" max="14350" width="11.42578125" customWidth="1"/>
    <col min="14351" max="14351" width="12.28515625" bestFit="1" customWidth="1"/>
    <col min="14593" max="14593" width="13" customWidth="1"/>
    <col min="14594" max="14594" width="27.42578125" bestFit="1" customWidth="1"/>
    <col min="14595" max="14595" width="12.28515625" bestFit="1" customWidth="1"/>
    <col min="14596" max="14606" width="11.42578125" customWidth="1"/>
    <col min="14607" max="14607" width="12.28515625" bestFit="1" customWidth="1"/>
    <col min="14849" max="14849" width="13" customWidth="1"/>
    <col min="14850" max="14850" width="27.42578125" bestFit="1" customWidth="1"/>
    <col min="14851" max="14851" width="12.28515625" bestFit="1" customWidth="1"/>
    <col min="14852" max="14862" width="11.42578125" customWidth="1"/>
    <col min="14863" max="14863" width="12.28515625" bestFit="1" customWidth="1"/>
    <col min="15105" max="15105" width="13" customWidth="1"/>
    <col min="15106" max="15106" width="27.42578125" bestFit="1" customWidth="1"/>
    <col min="15107" max="15107" width="12.28515625" bestFit="1" customWidth="1"/>
    <col min="15108" max="15118" width="11.42578125" customWidth="1"/>
    <col min="15119" max="15119" width="12.28515625" bestFit="1" customWidth="1"/>
    <col min="15361" max="15361" width="13" customWidth="1"/>
    <col min="15362" max="15362" width="27.42578125" bestFit="1" customWidth="1"/>
    <col min="15363" max="15363" width="12.28515625" bestFit="1" customWidth="1"/>
    <col min="15364" max="15374" width="11.42578125" customWidth="1"/>
    <col min="15375" max="15375" width="12.28515625" bestFit="1" customWidth="1"/>
    <col min="15617" max="15617" width="13" customWidth="1"/>
    <col min="15618" max="15618" width="27.42578125" bestFit="1" customWidth="1"/>
    <col min="15619" max="15619" width="12.28515625" bestFit="1" customWidth="1"/>
    <col min="15620" max="15630" width="11.42578125" customWidth="1"/>
    <col min="15631" max="15631" width="12.28515625" bestFit="1" customWidth="1"/>
    <col min="15873" max="15873" width="13" customWidth="1"/>
    <col min="15874" max="15874" width="27.42578125" bestFit="1" customWidth="1"/>
    <col min="15875" max="15875" width="12.28515625" bestFit="1" customWidth="1"/>
    <col min="15876" max="15886" width="11.42578125" customWidth="1"/>
    <col min="15887" max="15887" width="12.28515625" bestFit="1" customWidth="1"/>
    <col min="16129" max="16129" width="13" customWidth="1"/>
    <col min="16130" max="16130" width="27.42578125" bestFit="1" customWidth="1"/>
    <col min="16131" max="16131" width="12.28515625" bestFit="1" customWidth="1"/>
    <col min="16132" max="16142" width="11.42578125" customWidth="1"/>
    <col min="16143" max="16143" width="12.28515625" bestFit="1" customWidth="1"/>
  </cols>
  <sheetData>
    <row r="1" spans="1:16" x14ac:dyDescent="0.25">
      <c r="B1" s="2"/>
      <c r="C1" s="3"/>
      <c r="D1" s="3"/>
      <c r="E1" s="3"/>
      <c r="F1" s="3"/>
      <c r="G1" s="3"/>
      <c r="H1" s="3"/>
    </row>
    <row r="2" spans="1:16" x14ac:dyDescent="0.25">
      <c r="B2" s="4"/>
      <c r="C2" s="4"/>
    </row>
    <row r="3" spans="1:16" x14ac:dyDescent="0.25">
      <c r="C3" s="5" t="str">
        <f xml:space="preserve"> CONCATENATE("Cedula de IVA por el año ",B5 )</f>
        <v>Cedula de IVA por el año 2023</v>
      </c>
      <c r="D3" s="5"/>
      <c r="E3" s="5"/>
      <c r="F3" s="5"/>
      <c r="G3" s="5"/>
      <c r="H3" s="5"/>
    </row>
    <row r="4" spans="1:16" x14ac:dyDescent="0.25">
      <c r="C4" s="6"/>
      <c r="D4" s="6"/>
      <c r="E4" s="6"/>
      <c r="F4" s="6"/>
      <c r="G4" s="6"/>
      <c r="H4" s="6"/>
    </row>
    <row r="5" spans="1:16" x14ac:dyDescent="0.25">
      <c r="A5" s="7" t="s">
        <v>43</v>
      </c>
      <c r="B5" s="8">
        <v>2023</v>
      </c>
      <c r="N5" t="s">
        <v>44</v>
      </c>
    </row>
    <row r="6" spans="1:16" x14ac:dyDescent="0.25">
      <c r="A6" s="9"/>
      <c r="B6" s="10"/>
    </row>
    <row r="7" spans="1:16" x14ac:dyDescent="0.25">
      <c r="A7" s="9"/>
      <c r="B7" s="10"/>
    </row>
    <row r="8" spans="1:16" x14ac:dyDescent="0.25">
      <c r="N8" t="s">
        <v>44</v>
      </c>
    </row>
    <row r="9" spans="1:16" x14ac:dyDescent="0.25">
      <c r="A9" s="11" t="s">
        <v>45</v>
      </c>
      <c r="B9" s="12" t="s">
        <v>46</v>
      </c>
      <c r="C9" s="12" t="s">
        <v>47</v>
      </c>
      <c r="D9" s="12" t="s">
        <v>48</v>
      </c>
      <c r="E9" s="12" t="s">
        <v>49</v>
      </c>
      <c r="F9" s="12" t="s">
        <v>50</v>
      </c>
      <c r="G9" s="12" t="s">
        <v>51</v>
      </c>
      <c r="H9" s="12" t="s">
        <v>52</v>
      </c>
      <c r="I9" s="12" t="s">
        <v>53</v>
      </c>
      <c r="J9" s="12" t="s">
        <v>54</v>
      </c>
      <c r="K9" s="12" t="s">
        <v>55</v>
      </c>
      <c r="L9" s="12" t="s">
        <v>56</v>
      </c>
      <c r="M9" s="12" t="s">
        <v>57</v>
      </c>
      <c r="N9" s="12" t="s">
        <v>58</v>
      </c>
      <c r="O9" s="12" t="s">
        <v>59</v>
      </c>
      <c r="P9" s="13"/>
    </row>
    <row r="10" spans="1:16" x14ac:dyDescent="0.25">
      <c r="B10" s="14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14"/>
    </row>
    <row r="11" spans="1:16" x14ac:dyDescent="0.25">
      <c r="A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6" x14ac:dyDescent="0.25">
      <c r="A12" t="s">
        <v>44</v>
      </c>
      <c r="B12" s="1" t="s">
        <v>60</v>
      </c>
      <c r="D12" s="17"/>
      <c r="E12" s="17"/>
      <c r="F12" s="17"/>
      <c r="G12" s="17"/>
      <c r="H12" s="17"/>
      <c r="I12" s="17"/>
      <c r="J12" s="17"/>
      <c r="K12" s="17"/>
      <c r="L12" s="17"/>
      <c r="M12" s="16"/>
      <c r="N12" s="16"/>
      <c r="O12" s="16"/>
    </row>
    <row r="13" spans="1:16" x14ac:dyDescent="0.25">
      <c r="A13">
        <v>12</v>
      </c>
      <c r="B13" t="s">
        <v>61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f t="shared" ref="O13:O20" si="0">SUM(C13:N13)</f>
        <v>0</v>
      </c>
      <c r="P13" t="s">
        <v>44</v>
      </c>
    </row>
    <row r="14" spans="1:16" x14ac:dyDescent="0.25">
      <c r="A14">
        <v>13</v>
      </c>
      <c r="B14" t="s">
        <v>62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f t="shared" si="0"/>
        <v>0</v>
      </c>
    </row>
    <row r="15" spans="1:16" x14ac:dyDescent="0.25">
      <c r="A15">
        <v>3</v>
      </c>
      <c r="B15" t="s">
        <v>63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0"/>
        <v>0</v>
      </c>
    </row>
    <row r="16" spans="1:16" x14ac:dyDescent="0.25">
      <c r="A16">
        <v>4</v>
      </c>
      <c r="B16" t="s">
        <v>64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f t="shared" si="0"/>
        <v>0</v>
      </c>
    </row>
    <row r="17" spans="1:16" x14ac:dyDescent="0.25">
      <c r="A17">
        <v>1</v>
      </c>
      <c r="B17" t="s">
        <v>65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f t="shared" si="0"/>
        <v>0</v>
      </c>
      <c r="P17" t="s">
        <v>44</v>
      </c>
    </row>
    <row r="18" spans="1:16" x14ac:dyDescent="0.25">
      <c r="A18">
        <v>2</v>
      </c>
      <c r="B18" t="s">
        <v>66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f t="shared" si="0"/>
        <v>0</v>
      </c>
    </row>
    <row r="19" spans="1:16" x14ac:dyDescent="0.25">
      <c r="A19">
        <v>5</v>
      </c>
      <c r="B19" t="s">
        <v>67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f t="shared" si="0"/>
        <v>0</v>
      </c>
    </row>
    <row r="20" spans="1:16" ht="15.75" thickBot="1" x14ac:dyDescent="0.3">
      <c r="B20" s="18" t="s">
        <v>68</v>
      </c>
      <c r="C20" s="19">
        <f t="shared" ref="C20:N20" si="1">SUM(C13:C19)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0</v>
      </c>
      <c r="I20" s="19">
        <f t="shared" si="1"/>
        <v>0</v>
      </c>
      <c r="J20" s="19">
        <f t="shared" si="1"/>
        <v>0</v>
      </c>
      <c r="K20" s="19">
        <f t="shared" si="1"/>
        <v>0</v>
      </c>
      <c r="L20" s="19">
        <f t="shared" si="1"/>
        <v>0</v>
      </c>
      <c r="M20" s="19">
        <f t="shared" si="1"/>
        <v>0</v>
      </c>
      <c r="N20" s="19">
        <f t="shared" si="1"/>
        <v>0</v>
      </c>
      <c r="O20" s="19">
        <f t="shared" si="0"/>
        <v>0</v>
      </c>
    </row>
    <row r="21" spans="1:16" ht="15.75" thickTop="1" x14ac:dyDescent="0.25"/>
    <row r="22" spans="1:16" x14ac:dyDescent="0.25">
      <c r="A22">
        <v>12</v>
      </c>
      <c r="B22" t="s">
        <v>69</v>
      </c>
      <c r="C22" s="16">
        <f t="shared" ref="C22:N22" si="2">C13*0.16</f>
        <v>0</v>
      </c>
      <c r="D22" s="16">
        <f t="shared" si="2"/>
        <v>0</v>
      </c>
      <c r="E22" s="16">
        <f t="shared" si="2"/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>
        <f t="shared" si="2"/>
        <v>0</v>
      </c>
      <c r="O22" s="16">
        <f t="shared" ref="O22:O23" si="3">SUM(C22:N22)</f>
        <v>0</v>
      </c>
    </row>
    <row r="23" spans="1:16" x14ac:dyDescent="0.25">
      <c r="A23">
        <v>13</v>
      </c>
      <c r="B23" t="s">
        <v>70</v>
      </c>
      <c r="C23" s="16">
        <f t="shared" ref="C23:N23" si="4">C14*0.8%</f>
        <v>0</v>
      </c>
      <c r="D23" s="16">
        <f t="shared" si="4"/>
        <v>0</v>
      </c>
      <c r="E23" s="16">
        <f t="shared" si="4"/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3"/>
        <v>0</v>
      </c>
    </row>
    <row r="24" spans="1:16" x14ac:dyDescent="0.25">
      <c r="A24">
        <v>8</v>
      </c>
      <c r="B24" t="s">
        <v>71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f>SUM(C24:N24)</f>
        <v>0</v>
      </c>
    </row>
    <row r="25" spans="1:16" ht="15.75" thickBot="1" x14ac:dyDescent="0.3">
      <c r="B25" s="18" t="s">
        <v>72</v>
      </c>
      <c r="C25" s="19">
        <f>C22+C23-C24</f>
        <v>0</v>
      </c>
      <c r="D25" s="19">
        <f t="shared" ref="D25:O25" si="5">D22+D23-D24</f>
        <v>0</v>
      </c>
      <c r="E25" s="19">
        <f t="shared" si="5"/>
        <v>0</v>
      </c>
      <c r="F25" s="19">
        <f t="shared" si="5"/>
        <v>0</v>
      </c>
      <c r="G25" s="19">
        <f t="shared" si="5"/>
        <v>0</v>
      </c>
      <c r="H25" s="19">
        <f t="shared" si="5"/>
        <v>0</v>
      </c>
      <c r="I25" s="19">
        <f t="shared" si="5"/>
        <v>0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5"/>
        <v>0</v>
      </c>
      <c r="N25" s="19">
        <f t="shared" si="5"/>
        <v>0</v>
      </c>
      <c r="O25" s="19">
        <f t="shared" si="5"/>
        <v>0</v>
      </c>
    </row>
    <row r="26" spans="1:16" ht="15.75" thickTop="1" x14ac:dyDescent="0.25">
      <c r="B26" s="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6" x14ac:dyDescent="0.25">
      <c r="B27" s="1" t="s">
        <v>73</v>
      </c>
      <c r="C27" s="16"/>
      <c r="D27" s="16"/>
      <c r="E27" s="16"/>
      <c r="F27" s="16"/>
      <c r="G27" s="16"/>
      <c r="H27" s="16" t="s">
        <v>44</v>
      </c>
      <c r="I27" s="16" t="s">
        <v>44</v>
      </c>
      <c r="J27" s="16"/>
      <c r="K27" s="16"/>
      <c r="L27" s="16"/>
      <c r="M27" s="16"/>
      <c r="N27" s="16"/>
      <c r="O27" s="16"/>
    </row>
    <row r="28" spans="1:16" x14ac:dyDescent="0.25">
      <c r="A28">
        <v>12</v>
      </c>
      <c r="B28" t="s">
        <v>74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f>SUM(C28:N28)</f>
        <v>0</v>
      </c>
    </row>
    <row r="29" spans="1:16" x14ac:dyDescent="0.25">
      <c r="A29">
        <v>13</v>
      </c>
      <c r="B29" t="s">
        <v>75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f>SUM(C29:N29)</f>
        <v>0</v>
      </c>
    </row>
    <row r="30" spans="1:16" x14ac:dyDescent="0.25">
      <c r="A30">
        <v>3</v>
      </c>
      <c r="B30" t="s">
        <v>76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>SUM(C30:N30)</f>
        <v>0</v>
      </c>
    </row>
    <row r="31" spans="1:16" x14ac:dyDescent="0.25">
      <c r="A31">
        <v>4</v>
      </c>
      <c r="B31" t="s">
        <v>77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>SUM(C31:N31)</f>
        <v>0</v>
      </c>
    </row>
    <row r="32" spans="1:16" ht="15.75" thickBot="1" x14ac:dyDescent="0.3">
      <c r="B32" s="18" t="s">
        <v>78</v>
      </c>
      <c r="C32" s="19">
        <f t="shared" ref="C32:N32" si="6">SUM(C28:C31)</f>
        <v>0</v>
      </c>
      <c r="D32" s="19">
        <f t="shared" si="6"/>
        <v>0</v>
      </c>
      <c r="E32" s="19">
        <f t="shared" si="6"/>
        <v>0</v>
      </c>
      <c r="F32" s="19">
        <f t="shared" si="6"/>
        <v>0</v>
      </c>
      <c r="G32" s="19">
        <f t="shared" si="6"/>
        <v>0</v>
      </c>
      <c r="H32" s="19">
        <f t="shared" si="6"/>
        <v>0</v>
      </c>
      <c r="I32" s="19">
        <f t="shared" si="6"/>
        <v>0</v>
      </c>
      <c r="J32" s="19">
        <f t="shared" si="6"/>
        <v>0</v>
      </c>
      <c r="K32" s="19">
        <f t="shared" si="6"/>
        <v>0</v>
      </c>
      <c r="L32" s="19">
        <f t="shared" si="6"/>
        <v>0</v>
      </c>
      <c r="M32" s="19">
        <f t="shared" si="6"/>
        <v>0</v>
      </c>
      <c r="N32" s="19">
        <f t="shared" si="6"/>
        <v>0</v>
      </c>
      <c r="O32" s="19">
        <f>SUM(C32:N32)</f>
        <v>0</v>
      </c>
    </row>
    <row r="33" spans="1:15" ht="15.75" thickTop="1" x14ac:dyDescent="0.2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>
        <v>12</v>
      </c>
      <c r="B34" t="s">
        <v>79</v>
      </c>
      <c r="C34" s="16">
        <f>C28*0.16</f>
        <v>0</v>
      </c>
      <c r="D34" s="16">
        <f t="shared" ref="D34:N34" si="7">D28*0.16</f>
        <v>0</v>
      </c>
      <c r="E34" s="16">
        <f t="shared" si="7"/>
        <v>0</v>
      </c>
      <c r="F34" s="16">
        <f t="shared" si="7"/>
        <v>0</v>
      </c>
      <c r="G34" s="16">
        <f t="shared" si="7"/>
        <v>0</v>
      </c>
      <c r="H34" s="16">
        <f t="shared" si="7"/>
        <v>0</v>
      </c>
      <c r="I34" s="16">
        <f t="shared" si="7"/>
        <v>0</v>
      </c>
      <c r="J34" s="16">
        <f t="shared" si="7"/>
        <v>0</v>
      </c>
      <c r="K34" s="16">
        <f t="shared" si="7"/>
        <v>0</v>
      </c>
      <c r="L34" s="16">
        <f t="shared" si="7"/>
        <v>0</v>
      </c>
      <c r="M34" s="16">
        <f t="shared" si="7"/>
        <v>0</v>
      </c>
      <c r="N34" s="16">
        <f t="shared" si="7"/>
        <v>0</v>
      </c>
      <c r="O34" s="16">
        <f>SUM(C34:N34)</f>
        <v>0</v>
      </c>
    </row>
    <row r="35" spans="1:15" x14ac:dyDescent="0.25">
      <c r="A35">
        <v>13</v>
      </c>
      <c r="B35" t="s">
        <v>80</v>
      </c>
      <c r="C35" s="16">
        <f>C29*8%</f>
        <v>0</v>
      </c>
      <c r="D35" s="16">
        <f t="shared" ref="D35:N35" si="8">D29*8%</f>
        <v>0</v>
      </c>
      <c r="E35" s="16">
        <f t="shared" si="8"/>
        <v>0</v>
      </c>
      <c r="F35" s="16">
        <f t="shared" si="8"/>
        <v>0</v>
      </c>
      <c r="G35" s="16">
        <f t="shared" si="8"/>
        <v>0</v>
      </c>
      <c r="H35" s="16">
        <f t="shared" si="8"/>
        <v>0</v>
      </c>
      <c r="I35" s="16">
        <f t="shared" si="8"/>
        <v>0</v>
      </c>
      <c r="J35" s="16">
        <f t="shared" si="8"/>
        <v>0</v>
      </c>
      <c r="K35" s="16">
        <f t="shared" si="8"/>
        <v>0</v>
      </c>
      <c r="L35" s="16">
        <f t="shared" si="8"/>
        <v>0</v>
      </c>
      <c r="M35" s="16">
        <f t="shared" si="8"/>
        <v>0</v>
      </c>
      <c r="N35" s="16">
        <f t="shared" si="8"/>
        <v>0</v>
      </c>
      <c r="O35" s="16">
        <f>SUM(C35:N35)</f>
        <v>0</v>
      </c>
    </row>
    <row r="36" spans="1:15" x14ac:dyDescent="0.25">
      <c r="A36">
        <v>8</v>
      </c>
      <c r="B36" t="s">
        <v>71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>SUM(C36:N36)</f>
        <v>0</v>
      </c>
    </row>
    <row r="37" spans="1:15" x14ac:dyDescent="0.25">
      <c r="A37">
        <v>8</v>
      </c>
      <c r="B37" t="s">
        <v>81</v>
      </c>
      <c r="C37" s="16">
        <v>0</v>
      </c>
      <c r="D37" s="16">
        <f>C36</f>
        <v>0</v>
      </c>
      <c r="E37" s="16">
        <f t="shared" ref="E37:N37" si="9">D36</f>
        <v>0</v>
      </c>
      <c r="F37" s="16">
        <f t="shared" si="9"/>
        <v>0</v>
      </c>
      <c r="G37" s="16">
        <f t="shared" si="9"/>
        <v>0</v>
      </c>
      <c r="H37" s="16">
        <f t="shared" si="9"/>
        <v>0</v>
      </c>
      <c r="I37" s="16">
        <f t="shared" si="9"/>
        <v>0</v>
      </c>
      <c r="J37" s="16">
        <f t="shared" si="9"/>
        <v>0</v>
      </c>
      <c r="K37" s="16">
        <f t="shared" si="9"/>
        <v>0</v>
      </c>
      <c r="L37" s="16">
        <f t="shared" si="9"/>
        <v>0</v>
      </c>
      <c r="M37" s="16">
        <f t="shared" si="9"/>
        <v>0</v>
      </c>
      <c r="N37" s="16">
        <f t="shared" si="9"/>
        <v>0</v>
      </c>
      <c r="O37" s="16">
        <f>SUM(C37:N37)</f>
        <v>0</v>
      </c>
    </row>
    <row r="38" spans="1:15" ht="15.75" thickBot="1" x14ac:dyDescent="0.3">
      <c r="B38" s="18" t="s">
        <v>82</v>
      </c>
      <c r="C38" s="19">
        <f>C34+C35-C36+C37</f>
        <v>0</v>
      </c>
      <c r="D38" s="19">
        <f t="shared" ref="D38:N38" si="10">D34+D35-D36+D37</f>
        <v>0</v>
      </c>
      <c r="E38" s="19">
        <f t="shared" si="10"/>
        <v>0</v>
      </c>
      <c r="F38" s="19">
        <f t="shared" si="10"/>
        <v>0</v>
      </c>
      <c r="G38" s="19">
        <f t="shared" si="10"/>
        <v>0</v>
      </c>
      <c r="H38" s="19">
        <f t="shared" si="10"/>
        <v>0</v>
      </c>
      <c r="I38" s="19">
        <f t="shared" si="10"/>
        <v>0</v>
      </c>
      <c r="J38" s="19">
        <f t="shared" si="10"/>
        <v>0</v>
      </c>
      <c r="K38" s="19">
        <f t="shared" si="10"/>
        <v>0</v>
      </c>
      <c r="L38" s="19">
        <f t="shared" si="10"/>
        <v>0</v>
      </c>
      <c r="M38" s="19">
        <f t="shared" si="10"/>
        <v>0</v>
      </c>
      <c r="N38" s="19">
        <f t="shared" si="10"/>
        <v>0</v>
      </c>
      <c r="O38" s="19">
        <f>SUM(C38:N38)</f>
        <v>0</v>
      </c>
    </row>
    <row r="39" spans="1:15" ht="15.75" thickTop="1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44</v>
      </c>
    </row>
    <row r="40" spans="1:15" ht="15.75" x14ac:dyDescent="0.25">
      <c r="B40" s="21" t="s">
        <v>83</v>
      </c>
      <c r="C40" s="22"/>
      <c r="D40" s="22"/>
      <c r="E40" s="22"/>
      <c r="F40" s="22" t="s">
        <v>44</v>
      </c>
      <c r="G40" s="22"/>
      <c r="H40" s="22"/>
      <c r="I40" s="22"/>
      <c r="J40" s="22"/>
      <c r="K40" s="22"/>
      <c r="L40" s="22"/>
      <c r="M40" s="22"/>
      <c r="N40" s="22"/>
      <c r="O40" s="22" t="s">
        <v>44</v>
      </c>
    </row>
    <row r="41" spans="1:15" x14ac:dyDescent="0.25">
      <c r="B41" s="23" t="s">
        <v>84</v>
      </c>
      <c r="C41" s="24">
        <f t="shared" ref="C41:N41" si="11">IF(C25&gt;C38,C25-C38,0)</f>
        <v>0</v>
      </c>
      <c r="D41" s="24">
        <f t="shared" si="11"/>
        <v>0</v>
      </c>
      <c r="E41" s="24">
        <f t="shared" si="11"/>
        <v>0</v>
      </c>
      <c r="F41" s="24">
        <f t="shared" si="11"/>
        <v>0</v>
      </c>
      <c r="G41" s="24">
        <f t="shared" si="11"/>
        <v>0</v>
      </c>
      <c r="H41" s="24">
        <f t="shared" si="11"/>
        <v>0</v>
      </c>
      <c r="I41" s="24">
        <f t="shared" si="11"/>
        <v>0</v>
      </c>
      <c r="J41" s="24">
        <f t="shared" si="11"/>
        <v>0</v>
      </c>
      <c r="K41" s="24">
        <f t="shared" si="11"/>
        <v>0</v>
      </c>
      <c r="L41" s="24">
        <f t="shared" si="11"/>
        <v>0</v>
      </c>
      <c r="M41" s="24">
        <f t="shared" si="11"/>
        <v>0</v>
      </c>
      <c r="N41" s="24">
        <f t="shared" si="11"/>
        <v>0</v>
      </c>
      <c r="O41" s="24">
        <f>SUM(C41:N41)</f>
        <v>0</v>
      </c>
    </row>
    <row r="42" spans="1:15" x14ac:dyDescent="0.25">
      <c r="B42" s="23" t="s">
        <v>85</v>
      </c>
      <c r="C42" s="24">
        <f t="shared" ref="C42:N42" si="12">IF(C25&lt;C38,C38-C25,0)</f>
        <v>0</v>
      </c>
      <c r="D42" s="24">
        <f t="shared" si="12"/>
        <v>0</v>
      </c>
      <c r="E42" s="24">
        <f t="shared" si="12"/>
        <v>0</v>
      </c>
      <c r="F42" s="24">
        <f t="shared" si="12"/>
        <v>0</v>
      </c>
      <c r="G42" s="24">
        <f t="shared" si="12"/>
        <v>0</v>
      </c>
      <c r="H42" s="24">
        <f t="shared" si="12"/>
        <v>0</v>
      </c>
      <c r="I42" s="24">
        <f t="shared" si="12"/>
        <v>0</v>
      </c>
      <c r="J42" s="24">
        <f t="shared" si="12"/>
        <v>0</v>
      </c>
      <c r="K42" s="24">
        <f t="shared" si="12"/>
        <v>0</v>
      </c>
      <c r="L42" s="24">
        <f t="shared" si="12"/>
        <v>0</v>
      </c>
      <c r="M42" s="24">
        <f t="shared" si="12"/>
        <v>0</v>
      </c>
      <c r="N42" s="24">
        <f t="shared" si="12"/>
        <v>0</v>
      </c>
      <c r="O42" s="24">
        <f>SUM(C42:N42)</f>
        <v>0</v>
      </c>
    </row>
    <row r="43" spans="1:15" x14ac:dyDescent="0.25">
      <c r="B43" s="23" t="s">
        <v>86</v>
      </c>
      <c r="C43" s="24">
        <v>0</v>
      </c>
      <c r="D43" s="24">
        <f t="shared" ref="D43:N43" si="13">IF(C45&lt;0,C45*-1,C45)</f>
        <v>0</v>
      </c>
      <c r="E43" s="24">
        <f t="shared" si="13"/>
        <v>0</v>
      </c>
      <c r="F43" s="24">
        <f t="shared" si="13"/>
        <v>0</v>
      </c>
      <c r="G43" s="24">
        <f t="shared" si="13"/>
        <v>0</v>
      </c>
      <c r="H43" s="24">
        <f t="shared" si="13"/>
        <v>0</v>
      </c>
      <c r="I43" s="24">
        <f t="shared" si="13"/>
        <v>0</v>
      </c>
      <c r="J43" s="24">
        <f t="shared" si="13"/>
        <v>0</v>
      </c>
      <c r="K43" s="24">
        <f t="shared" si="13"/>
        <v>0</v>
      </c>
      <c r="L43" s="24">
        <f t="shared" si="13"/>
        <v>0</v>
      </c>
      <c r="M43" s="24">
        <f t="shared" si="13"/>
        <v>0</v>
      </c>
      <c r="N43" s="24">
        <f t="shared" si="13"/>
        <v>0</v>
      </c>
      <c r="O43" s="24">
        <f>N45</f>
        <v>0</v>
      </c>
    </row>
    <row r="44" spans="1:15" x14ac:dyDescent="0.25">
      <c r="B44" s="23" t="s">
        <v>87</v>
      </c>
      <c r="C44" s="24">
        <f t="shared" ref="C44:N44" si="14">IF(C41&gt;C43,C41-C43,0)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  <c r="H44" s="24">
        <f t="shared" si="14"/>
        <v>0</v>
      </c>
      <c r="I44" s="24">
        <f t="shared" si="14"/>
        <v>0</v>
      </c>
      <c r="J44" s="24">
        <f t="shared" si="14"/>
        <v>0</v>
      </c>
      <c r="K44" s="24">
        <f t="shared" si="14"/>
        <v>0</v>
      </c>
      <c r="L44" s="24">
        <f t="shared" si="14"/>
        <v>0</v>
      </c>
      <c r="M44" s="24">
        <f t="shared" si="14"/>
        <v>0</v>
      </c>
      <c r="N44" s="24">
        <f t="shared" si="14"/>
        <v>0</v>
      </c>
      <c r="O44" s="24">
        <f>SUM(C44:N44)</f>
        <v>0</v>
      </c>
    </row>
    <row r="45" spans="1:15" x14ac:dyDescent="0.25">
      <c r="B45" s="23" t="s">
        <v>88</v>
      </c>
      <c r="C45" s="24">
        <f t="shared" ref="C45:N45" si="15">IF(C44=0,IF(C41=0,C42+C43,C43-C41),0)</f>
        <v>0</v>
      </c>
      <c r="D45" s="24">
        <f t="shared" si="15"/>
        <v>0</v>
      </c>
      <c r="E45" s="24">
        <f t="shared" si="15"/>
        <v>0</v>
      </c>
      <c r="F45" s="24">
        <f t="shared" si="15"/>
        <v>0</v>
      </c>
      <c r="G45" s="24">
        <f t="shared" si="15"/>
        <v>0</v>
      </c>
      <c r="H45" s="24">
        <f t="shared" si="15"/>
        <v>0</v>
      </c>
      <c r="I45" s="24">
        <f t="shared" si="15"/>
        <v>0</v>
      </c>
      <c r="J45" s="24">
        <f t="shared" si="15"/>
        <v>0</v>
      </c>
      <c r="K45" s="24">
        <f t="shared" si="15"/>
        <v>0</v>
      </c>
      <c r="L45" s="24">
        <f t="shared" si="15"/>
        <v>0</v>
      </c>
      <c r="M45" s="24">
        <f t="shared" si="15"/>
        <v>0</v>
      </c>
      <c r="N45" s="24">
        <f t="shared" si="15"/>
        <v>0</v>
      </c>
      <c r="O45" s="24"/>
    </row>
  </sheetData>
  <mergeCells count="2">
    <mergeCell ref="C1:H1"/>
    <mergeCell ref="C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6"/>
  <sheetViews>
    <sheetView showGridLines="0" workbookViewId="0">
      <selection activeCell="H9" sqref="H9"/>
    </sheetView>
  </sheetViews>
  <sheetFormatPr baseColWidth="10" defaultRowHeight="15" x14ac:dyDescent="0.25"/>
  <cols>
    <col min="2" max="2" width="26.85546875" customWidth="1"/>
    <col min="3" max="3" width="29" customWidth="1"/>
    <col min="4" max="4" width="32" customWidth="1"/>
    <col min="6" max="6" width="15.85546875" customWidth="1"/>
    <col min="7" max="7" width="18.42578125" customWidth="1"/>
    <col min="10" max="10" width="32.140625" customWidth="1"/>
    <col min="14" max="14" width="39.7109375" customWidth="1"/>
    <col min="15" max="15" width="22.7109375" customWidth="1"/>
  </cols>
  <sheetData>
    <row r="3" spans="2:15" x14ac:dyDescent="0.25">
      <c r="B3" t="s">
        <v>89</v>
      </c>
    </row>
    <row r="4" spans="2:15" x14ac:dyDescent="0.25">
      <c r="B4" s="25" t="s">
        <v>90</v>
      </c>
    </row>
    <row r="5" spans="2:15" x14ac:dyDescent="0.25">
      <c r="B5" s="26" t="s">
        <v>91</v>
      </c>
    </row>
    <row r="6" spans="2:15" x14ac:dyDescent="0.25">
      <c r="B6" s="27" t="s">
        <v>92</v>
      </c>
    </row>
    <row r="7" spans="2:15" x14ac:dyDescent="0.25">
      <c r="J7">
        <v>10000</v>
      </c>
    </row>
    <row r="8" spans="2:15" x14ac:dyDescent="0.25">
      <c r="J8">
        <f>J7*0.16</f>
        <v>1600</v>
      </c>
    </row>
    <row r="9" spans="2:15" ht="21" x14ac:dyDescent="0.35">
      <c r="B9" s="28" t="s">
        <v>93</v>
      </c>
      <c r="C9" s="28"/>
      <c r="D9" s="28"/>
      <c r="E9" s="28"/>
      <c r="F9" s="28"/>
      <c r="J9">
        <f>J8/3*2</f>
        <v>1066.6666666666667</v>
      </c>
    </row>
    <row r="10" spans="2:15" x14ac:dyDescent="0.25">
      <c r="J10">
        <f>10000*1.25%</f>
        <v>125</v>
      </c>
    </row>
    <row r="11" spans="2:15" x14ac:dyDescent="0.25">
      <c r="C11" t="s">
        <v>94</v>
      </c>
      <c r="J11">
        <f>J7+J8-J9-J10</f>
        <v>10408.333333333334</v>
      </c>
    </row>
    <row r="13" spans="2:15" ht="24" customHeight="1" x14ac:dyDescent="0.25">
      <c r="B13" s="29"/>
      <c r="C13" s="29" t="s">
        <v>95</v>
      </c>
      <c r="D13" s="29" t="s">
        <v>96</v>
      </c>
      <c r="E13" s="29" t="s">
        <v>97</v>
      </c>
      <c r="F13" s="29" t="s">
        <v>60</v>
      </c>
      <c r="G13" s="29" t="s">
        <v>98</v>
      </c>
      <c r="I13" s="30" t="s">
        <v>99</v>
      </c>
      <c r="J13" s="31"/>
      <c r="K13" s="32" t="s">
        <v>100</v>
      </c>
      <c r="M13" s="30" t="s">
        <v>101</v>
      </c>
      <c r="N13" s="31"/>
      <c r="O13" s="32" t="s">
        <v>100</v>
      </c>
    </row>
    <row r="14" spans="2:15" ht="15.75" x14ac:dyDescent="0.25">
      <c r="B14" s="33"/>
      <c r="C14" s="34" t="s">
        <v>102</v>
      </c>
      <c r="D14" s="35">
        <v>10000</v>
      </c>
      <c r="E14" s="36" t="s">
        <v>103</v>
      </c>
      <c r="F14" s="35">
        <v>0</v>
      </c>
      <c r="G14" s="37">
        <v>0.25</v>
      </c>
      <c r="I14" s="38"/>
      <c r="J14" s="39" t="s">
        <v>104</v>
      </c>
      <c r="K14" s="40">
        <v>240</v>
      </c>
      <c r="M14" s="38"/>
      <c r="N14" s="39" t="s">
        <v>105</v>
      </c>
      <c r="O14" s="40">
        <f>D16</f>
        <v>50000</v>
      </c>
    </row>
    <row r="15" spans="2:15" x14ac:dyDescent="0.25">
      <c r="B15" s="33" t="s">
        <v>106</v>
      </c>
      <c r="C15" s="34" t="s">
        <v>107</v>
      </c>
      <c r="D15" s="35">
        <v>25000</v>
      </c>
      <c r="E15" s="37">
        <v>0</v>
      </c>
      <c r="F15" s="35">
        <v>0</v>
      </c>
      <c r="G15" s="37">
        <v>0.45</v>
      </c>
      <c r="I15" s="33" t="s">
        <v>106</v>
      </c>
      <c r="J15" s="33" t="s">
        <v>108</v>
      </c>
      <c r="K15" s="35">
        <v>1600</v>
      </c>
      <c r="M15" s="33" t="s">
        <v>106</v>
      </c>
      <c r="N15" s="33" t="s">
        <v>109</v>
      </c>
      <c r="O15" s="35">
        <f>D15</f>
        <v>25000</v>
      </c>
    </row>
    <row r="16" spans="2:15" x14ac:dyDescent="0.25">
      <c r="B16" s="33" t="s">
        <v>106</v>
      </c>
      <c r="C16" s="34" t="s">
        <v>110</v>
      </c>
      <c r="D16" s="35">
        <v>50000</v>
      </c>
      <c r="E16" s="37">
        <v>0.16</v>
      </c>
      <c r="F16" s="35">
        <f>D16*E16</f>
        <v>8000</v>
      </c>
      <c r="G16" s="37">
        <v>0.3</v>
      </c>
      <c r="I16" s="33" t="s">
        <v>106</v>
      </c>
      <c r="J16" s="33" t="s">
        <v>111</v>
      </c>
      <c r="K16" s="35">
        <v>2400</v>
      </c>
      <c r="M16" s="33" t="s">
        <v>112</v>
      </c>
      <c r="N16" s="33" t="s">
        <v>113</v>
      </c>
      <c r="O16" s="35">
        <f>O14+O15</f>
        <v>75000</v>
      </c>
    </row>
    <row r="17" spans="2:15" x14ac:dyDescent="0.25">
      <c r="B17" s="33" t="s">
        <v>112</v>
      </c>
      <c r="C17" s="34" t="s">
        <v>59</v>
      </c>
      <c r="D17" s="41">
        <f>SUM(D14:D16)</f>
        <v>85000</v>
      </c>
      <c r="E17" s="36"/>
      <c r="F17" s="36"/>
      <c r="G17" s="42">
        <v>1</v>
      </c>
      <c r="I17" s="33" t="s">
        <v>106</v>
      </c>
      <c r="J17" s="33" t="s">
        <v>114</v>
      </c>
      <c r="K17" s="35">
        <v>320</v>
      </c>
      <c r="M17" s="33" t="s">
        <v>115</v>
      </c>
      <c r="N17" s="33" t="s">
        <v>116</v>
      </c>
      <c r="O17" s="35">
        <f>D17</f>
        <v>85000</v>
      </c>
    </row>
    <row r="18" spans="2:15" x14ac:dyDescent="0.25">
      <c r="I18" s="43" t="s">
        <v>117</v>
      </c>
      <c r="J18" s="43"/>
      <c r="K18" s="44">
        <v>4560</v>
      </c>
      <c r="M18" s="43" t="s">
        <v>117</v>
      </c>
      <c r="N18" s="43" t="s">
        <v>118</v>
      </c>
      <c r="O18" s="44">
        <f>O16/O17</f>
        <v>0.88235294117647056</v>
      </c>
    </row>
    <row r="19" spans="2:15" ht="15.75" thickBot="1" x14ac:dyDescent="0.3"/>
    <row r="20" spans="2:15" ht="22.5" customHeight="1" thickBot="1" x14ac:dyDescent="0.3">
      <c r="B20" s="45"/>
      <c r="C20" s="46" t="s">
        <v>119</v>
      </c>
      <c r="D20" s="45" t="s">
        <v>96</v>
      </c>
      <c r="E20" s="46" t="s">
        <v>120</v>
      </c>
      <c r="F20" s="45" t="s">
        <v>60</v>
      </c>
      <c r="G20" s="47" t="s">
        <v>121</v>
      </c>
      <c r="I20" s="48" t="s">
        <v>122</v>
      </c>
      <c r="J20" s="49"/>
      <c r="K20" s="50" t="s">
        <v>123</v>
      </c>
      <c r="M20" s="48" t="s">
        <v>124</v>
      </c>
      <c r="N20" s="49"/>
      <c r="O20" s="50" t="s">
        <v>123</v>
      </c>
    </row>
    <row r="21" spans="2:15" x14ac:dyDescent="0.25">
      <c r="B21" s="36" t="s">
        <v>106</v>
      </c>
      <c r="C21" s="51" t="s">
        <v>125</v>
      </c>
      <c r="D21" s="35">
        <v>12000</v>
      </c>
      <c r="E21" s="37">
        <v>0.16</v>
      </c>
      <c r="F21" s="52">
        <f>D21*E21</f>
        <v>1920</v>
      </c>
      <c r="G21" s="36" t="s">
        <v>103</v>
      </c>
      <c r="I21" s="39"/>
      <c r="J21" s="39" t="s">
        <v>126</v>
      </c>
      <c r="K21" s="53">
        <v>320</v>
      </c>
      <c r="M21" s="39"/>
      <c r="N21" s="39" t="s">
        <v>127</v>
      </c>
      <c r="O21" s="53">
        <v>240</v>
      </c>
    </row>
    <row r="22" spans="2:15" x14ac:dyDescent="0.25">
      <c r="B22" s="36" t="s">
        <v>106</v>
      </c>
      <c r="C22" s="51" t="s">
        <v>128</v>
      </c>
      <c r="D22" s="35">
        <v>10000</v>
      </c>
      <c r="E22" s="37">
        <v>0.16</v>
      </c>
      <c r="F22" s="52">
        <f t="shared" ref="F22:F25" si="0">D22*E22</f>
        <v>1600</v>
      </c>
      <c r="G22" s="37">
        <v>0</v>
      </c>
      <c r="I22" s="33" t="s">
        <v>129</v>
      </c>
      <c r="J22" s="33" t="s">
        <v>130</v>
      </c>
      <c r="K22" s="33">
        <v>0.75</v>
      </c>
      <c r="M22" s="33" t="s">
        <v>106</v>
      </c>
      <c r="N22" s="33" t="s">
        <v>131</v>
      </c>
      <c r="O22" s="33">
        <v>1600</v>
      </c>
    </row>
    <row r="23" spans="2:15" x14ac:dyDescent="0.25">
      <c r="B23" s="36" t="s">
        <v>106</v>
      </c>
      <c r="C23" s="51" t="s">
        <v>132</v>
      </c>
      <c r="D23" s="35">
        <v>3000</v>
      </c>
      <c r="E23" s="37">
        <v>0.16</v>
      </c>
      <c r="F23" s="52">
        <f t="shared" si="0"/>
        <v>480</v>
      </c>
      <c r="G23" s="36" t="s">
        <v>103</v>
      </c>
      <c r="I23" s="33" t="s">
        <v>133</v>
      </c>
      <c r="J23" s="33" t="s">
        <v>134</v>
      </c>
      <c r="K23" s="54">
        <f>K21*K22</f>
        <v>240</v>
      </c>
      <c r="M23" s="33" t="s">
        <v>106</v>
      </c>
      <c r="N23" s="33" t="s">
        <v>134</v>
      </c>
      <c r="O23" s="54">
        <v>240</v>
      </c>
    </row>
    <row r="24" spans="2:15" x14ac:dyDescent="0.25">
      <c r="B24" s="36" t="s">
        <v>106</v>
      </c>
      <c r="C24" s="51" t="s">
        <v>135</v>
      </c>
      <c r="D24" s="35">
        <v>1500</v>
      </c>
      <c r="E24" s="37">
        <v>0.16</v>
      </c>
      <c r="F24" s="52">
        <f t="shared" si="0"/>
        <v>240</v>
      </c>
      <c r="G24" s="37">
        <v>0.16</v>
      </c>
      <c r="M24" s="55" t="s">
        <v>112</v>
      </c>
      <c r="N24" s="56" t="s">
        <v>59</v>
      </c>
      <c r="O24" s="57">
        <v>2080</v>
      </c>
    </row>
    <row r="25" spans="2:15" x14ac:dyDescent="0.25">
      <c r="B25" s="36" t="s">
        <v>136</v>
      </c>
      <c r="C25" s="51" t="s">
        <v>137</v>
      </c>
      <c r="D25" s="35">
        <v>2000</v>
      </c>
      <c r="E25" s="37">
        <v>0.16</v>
      </c>
      <c r="F25" s="52">
        <f t="shared" si="0"/>
        <v>320</v>
      </c>
      <c r="G25" s="36" t="s">
        <v>138</v>
      </c>
    </row>
    <row r="26" spans="2:15" ht="15.75" x14ac:dyDescent="0.25">
      <c r="B26" s="51" t="s">
        <v>117</v>
      </c>
      <c r="C26" s="36" t="s">
        <v>59</v>
      </c>
      <c r="D26" s="58">
        <f>SUM(D21:D25)</f>
        <v>28500</v>
      </c>
      <c r="E26" s="36"/>
      <c r="F26" s="59">
        <f>SUM(F21:F25)</f>
        <v>4560</v>
      </c>
      <c r="G26" s="36"/>
    </row>
    <row r="35" spans="4:4" x14ac:dyDescent="0.25">
      <c r="D35" s="16"/>
    </row>
    <row r="36" spans="4:4" x14ac:dyDescent="0.25">
      <c r="D36" s="60"/>
    </row>
  </sheetData>
  <mergeCells count="5">
    <mergeCell ref="B9:F9"/>
    <mergeCell ref="I13:J13"/>
    <mergeCell ref="M13:N13"/>
    <mergeCell ref="I20:J20"/>
    <mergeCell ref="M20:N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workbookViewId="0">
      <selection activeCell="G11" sqref="G11"/>
    </sheetView>
  </sheetViews>
  <sheetFormatPr baseColWidth="10" defaultRowHeight="15" x14ac:dyDescent="0.25"/>
  <cols>
    <col min="1" max="1" width="7" customWidth="1"/>
    <col min="2" max="2" width="7.28515625" customWidth="1"/>
    <col min="3" max="3" width="50.5703125" customWidth="1"/>
    <col min="4" max="4" width="1.140625" hidden="1" customWidth="1"/>
    <col min="5" max="5" width="27.28515625" customWidth="1"/>
    <col min="6" max="6" width="24.85546875" customWidth="1"/>
    <col min="7" max="7" width="40.85546875" customWidth="1"/>
    <col min="9" max="9" width="13.85546875" customWidth="1"/>
    <col min="10" max="10" width="14.28515625" customWidth="1"/>
    <col min="11" max="11" width="15.42578125" customWidth="1"/>
  </cols>
  <sheetData>
    <row r="2" spans="3:11" ht="16.5" customHeight="1" x14ac:dyDescent="0.25"/>
    <row r="3" spans="3:11" x14ac:dyDescent="0.25">
      <c r="E3" t="s">
        <v>139</v>
      </c>
      <c r="F3" t="s">
        <v>140</v>
      </c>
      <c r="G3" t="s">
        <v>141</v>
      </c>
    </row>
    <row r="4" spans="3:11" ht="15.75" thickBot="1" x14ac:dyDescent="0.3">
      <c r="C4" s="61" t="s">
        <v>142</v>
      </c>
      <c r="D4" s="62"/>
    </row>
    <row r="5" spans="3:11" ht="49.5" customHeight="1" x14ac:dyDescent="0.25">
      <c r="C5" s="61"/>
      <c r="D5" s="63"/>
      <c r="E5" s="64" t="s">
        <v>143</v>
      </c>
      <c r="F5" s="65" t="s">
        <v>144</v>
      </c>
      <c r="G5" s="66" t="s">
        <v>145</v>
      </c>
    </row>
    <row r="6" spans="3:11" ht="15.75" customHeight="1" x14ac:dyDescent="0.25">
      <c r="C6" s="67" t="s">
        <v>146</v>
      </c>
      <c r="D6" s="67"/>
      <c r="E6" s="68">
        <v>100000</v>
      </c>
      <c r="F6" s="68">
        <v>100000</v>
      </c>
      <c r="G6" s="69">
        <v>0</v>
      </c>
      <c r="H6" t="s">
        <v>147</v>
      </c>
      <c r="I6" t="s">
        <v>148</v>
      </c>
      <c r="J6" t="s">
        <v>149</v>
      </c>
      <c r="K6" t="s">
        <v>150</v>
      </c>
    </row>
    <row r="7" spans="3:11" x14ac:dyDescent="0.25">
      <c r="C7" s="67" t="s">
        <v>151</v>
      </c>
      <c r="D7" s="67"/>
      <c r="E7" s="68">
        <v>0</v>
      </c>
      <c r="F7" s="68">
        <v>50000</v>
      </c>
      <c r="G7" s="68">
        <v>50000</v>
      </c>
      <c r="H7" s="70">
        <f>G7*0.16</f>
        <v>8000</v>
      </c>
      <c r="I7" s="70">
        <f>G11*0.16</f>
        <v>4800</v>
      </c>
      <c r="J7" s="70">
        <f>I7*G15</f>
        <v>4224</v>
      </c>
      <c r="K7" s="70">
        <f>H7-J7</f>
        <v>3776</v>
      </c>
    </row>
    <row r="8" spans="3:11" x14ac:dyDescent="0.25">
      <c r="C8" s="67" t="s">
        <v>152</v>
      </c>
      <c r="D8" s="67"/>
      <c r="E8" s="68">
        <v>0</v>
      </c>
      <c r="F8" s="68">
        <v>0</v>
      </c>
      <c r="G8" s="68">
        <v>25000</v>
      </c>
    </row>
    <row r="9" spans="3:11" x14ac:dyDescent="0.25">
      <c r="C9" s="67" t="s">
        <v>153</v>
      </c>
      <c r="D9" s="67"/>
      <c r="E9" s="68">
        <v>0</v>
      </c>
      <c r="F9" s="68">
        <v>0</v>
      </c>
      <c r="G9" s="68">
        <v>10000</v>
      </c>
    </row>
    <row r="10" spans="3:11" x14ac:dyDescent="0.25">
      <c r="C10" s="71"/>
      <c r="D10" s="71"/>
      <c r="E10" s="68"/>
      <c r="F10" s="68"/>
      <c r="G10" s="68"/>
    </row>
    <row r="11" spans="3:11" x14ac:dyDescent="0.25">
      <c r="C11" s="67" t="s">
        <v>154</v>
      </c>
      <c r="D11" s="67"/>
      <c r="E11" s="68">
        <v>0</v>
      </c>
      <c r="F11" s="68">
        <v>10000</v>
      </c>
      <c r="G11" s="68">
        <v>30000</v>
      </c>
      <c r="H11" s="70"/>
    </row>
    <row r="12" spans="3:11" x14ac:dyDescent="0.25">
      <c r="C12" s="67" t="s">
        <v>155</v>
      </c>
      <c r="D12" s="67"/>
      <c r="E12" s="68">
        <v>0</v>
      </c>
      <c r="F12" s="68">
        <v>0</v>
      </c>
      <c r="G12" s="68">
        <v>0</v>
      </c>
      <c r="H12" s="70"/>
    </row>
    <row r="13" spans="3:11" x14ac:dyDescent="0.25">
      <c r="C13" s="67" t="s">
        <v>156</v>
      </c>
      <c r="D13" s="67"/>
      <c r="E13" s="68">
        <v>0</v>
      </c>
      <c r="F13" s="68">
        <v>0</v>
      </c>
      <c r="G13" s="68">
        <v>0</v>
      </c>
      <c r="H13" s="70"/>
    </row>
    <row r="14" spans="3:11" x14ac:dyDescent="0.25">
      <c r="C14" s="67" t="s">
        <v>157</v>
      </c>
      <c r="D14" s="67"/>
      <c r="E14" s="68">
        <v>0</v>
      </c>
      <c r="F14" s="68">
        <v>0</v>
      </c>
      <c r="G14" s="68">
        <v>0</v>
      </c>
      <c r="H14" s="70"/>
    </row>
    <row r="15" spans="3:11" x14ac:dyDescent="0.25">
      <c r="C15" s="67" t="s">
        <v>158</v>
      </c>
      <c r="D15" s="67"/>
      <c r="E15" s="68">
        <v>1</v>
      </c>
      <c r="F15" s="68">
        <v>1</v>
      </c>
      <c r="G15" s="72">
        <v>0.88</v>
      </c>
    </row>
    <row r="16" spans="3:11" x14ac:dyDescent="0.25">
      <c r="C16" s="67" t="s">
        <v>159</v>
      </c>
      <c r="D16" s="67"/>
      <c r="E16" s="68">
        <v>0</v>
      </c>
      <c r="F16" s="68">
        <v>0</v>
      </c>
      <c r="G16" s="68"/>
    </row>
    <row r="17" spans="3:7" x14ac:dyDescent="0.25">
      <c r="C17" s="73"/>
      <c r="D17" s="74"/>
      <c r="E17" s="68"/>
      <c r="F17" s="68"/>
      <c r="G17" s="68"/>
    </row>
    <row r="18" spans="3:7" x14ac:dyDescent="0.25">
      <c r="C18" s="67" t="s">
        <v>160</v>
      </c>
      <c r="D18" s="67"/>
      <c r="E18" s="68">
        <f>E6*2%</f>
        <v>2000</v>
      </c>
      <c r="F18" s="68">
        <f>F6*2%</f>
        <v>2000</v>
      </c>
      <c r="G18" s="68">
        <v>0</v>
      </c>
    </row>
    <row r="19" spans="3:7" x14ac:dyDescent="0.25">
      <c r="C19" s="67" t="s">
        <v>161</v>
      </c>
      <c r="D19" s="67"/>
      <c r="E19" s="75">
        <v>1</v>
      </c>
      <c r="F19" s="75">
        <v>1</v>
      </c>
      <c r="G19" s="76">
        <v>100</v>
      </c>
    </row>
    <row r="20" spans="3:7" x14ac:dyDescent="0.25">
      <c r="C20" s="73"/>
      <c r="D20" s="74"/>
      <c r="E20" s="68"/>
      <c r="F20" s="68"/>
      <c r="G20" s="68"/>
    </row>
    <row r="21" spans="3:7" x14ac:dyDescent="0.25">
      <c r="C21" s="67" t="s">
        <v>162</v>
      </c>
      <c r="D21" s="67"/>
      <c r="E21" s="68">
        <v>0</v>
      </c>
      <c r="F21" s="68">
        <f>F7*0.16</f>
        <v>8000</v>
      </c>
      <c r="G21" s="68">
        <f>G7*0.16</f>
        <v>8000</v>
      </c>
    </row>
    <row r="22" spans="3:7" x14ac:dyDescent="0.25">
      <c r="C22" s="67" t="s">
        <v>163</v>
      </c>
      <c r="D22" s="67"/>
      <c r="E22" s="68">
        <v>0</v>
      </c>
      <c r="F22" s="77">
        <f>F40</f>
        <v>533.33333333333326</v>
      </c>
      <c r="G22" s="68">
        <f>(G11*0.16)*G15</f>
        <v>4224</v>
      </c>
    </row>
    <row r="23" spans="3:7" x14ac:dyDescent="0.25">
      <c r="C23" s="67" t="s">
        <v>88</v>
      </c>
      <c r="D23" s="67"/>
      <c r="E23" s="68">
        <v>0</v>
      </c>
      <c r="F23" s="68"/>
      <c r="G23" s="68"/>
    </row>
    <row r="24" spans="3:7" x14ac:dyDescent="0.25">
      <c r="C24" s="67" t="s">
        <v>164</v>
      </c>
      <c r="D24" s="67"/>
      <c r="E24" s="68">
        <v>0</v>
      </c>
      <c r="F24" s="78">
        <f>F21-F22</f>
        <v>7466.666666666667</v>
      </c>
      <c r="G24" s="68">
        <f>G21-G22</f>
        <v>3776</v>
      </c>
    </row>
    <row r="25" spans="3:7" x14ac:dyDescent="0.25">
      <c r="E25" s="68"/>
      <c r="F25" s="68"/>
      <c r="G25" s="68"/>
    </row>
    <row r="26" spans="3:7" x14ac:dyDescent="0.25">
      <c r="C26" t="s">
        <v>165</v>
      </c>
      <c r="E26" s="68">
        <v>0</v>
      </c>
      <c r="F26" s="68">
        <v>0</v>
      </c>
      <c r="G26" s="68">
        <v>0</v>
      </c>
    </row>
    <row r="27" spans="3:7" x14ac:dyDescent="0.25">
      <c r="C27" t="s">
        <v>166</v>
      </c>
      <c r="E27" s="68">
        <v>0</v>
      </c>
      <c r="F27" s="78">
        <f>F24</f>
        <v>7466.666666666667</v>
      </c>
      <c r="G27" s="68">
        <f>G24</f>
        <v>3776</v>
      </c>
    </row>
    <row r="28" spans="3:7" x14ac:dyDescent="0.25">
      <c r="C28" t="s">
        <v>167</v>
      </c>
      <c r="E28" s="68">
        <v>0</v>
      </c>
      <c r="F28" s="68">
        <v>0</v>
      </c>
      <c r="G28" s="68"/>
    </row>
    <row r="29" spans="3:7" x14ac:dyDescent="0.25">
      <c r="C29" t="s">
        <v>168</v>
      </c>
      <c r="E29" s="68">
        <v>0</v>
      </c>
      <c r="F29" s="68">
        <v>0</v>
      </c>
      <c r="G29" s="68"/>
    </row>
    <row r="30" spans="3:7" x14ac:dyDescent="0.25">
      <c r="C30" t="s">
        <v>169</v>
      </c>
      <c r="E30" s="68">
        <v>0</v>
      </c>
      <c r="F30" s="68">
        <f>F27</f>
        <v>7466.666666666667</v>
      </c>
      <c r="G30" s="68">
        <f>G27</f>
        <v>3776</v>
      </c>
    </row>
    <row r="31" spans="3:7" x14ac:dyDescent="0.25">
      <c r="C31" t="s">
        <v>170</v>
      </c>
      <c r="E31" s="53">
        <v>0</v>
      </c>
      <c r="F31" s="79">
        <f>F27</f>
        <v>7466.666666666667</v>
      </c>
      <c r="G31" s="53">
        <f>G30</f>
        <v>3776</v>
      </c>
    </row>
    <row r="34" spans="2:6" x14ac:dyDescent="0.25">
      <c r="B34" s="80" t="s">
        <v>171</v>
      </c>
      <c r="C34" s="80"/>
      <c r="E34" s="81" t="s">
        <v>172</v>
      </c>
      <c r="F34" s="81"/>
    </row>
    <row r="35" spans="2:6" x14ac:dyDescent="0.25">
      <c r="B35" s="80"/>
      <c r="C35" s="80"/>
      <c r="E35" t="s">
        <v>173</v>
      </c>
      <c r="F35" s="70">
        <f>F7</f>
        <v>50000</v>
      </c>
    </row>
    <row r="36" spans="2:6" x14ac:dyDescent="0.25">
      <c r="B36" s="80"/>
      <c r="C36" s="80"/>
      <c r="E36" t="s">
        <v>174</v>
      </c>
      <c r="F36" s="70">
        <f>F6+F7</f>
        <v>150000</v>
      </c>
    </row>
    <row r="37" spans="2:6" x14ac:dyDescent="0.25">
      <c r="B37" s="80"/>
      <c r="C37" s="80"/>
      <c r="E37" t="s">
        <v>175</v>
      </c>
      <c r="F37" s="82">
        <f>F35/F36</f>
        <v>0.33333333333333331</v>
      </c>
    </row>
    <row r="38" spans="2:6" x14ac:dyDescent="0.25">
      <c r="B38" s="80"/>
      <c r="C38" s="80"/>
      <c r="E38" t="s">
        <v>176</v>
      </c>
      <c r="F38" s="70">
        <f>F11*0.16</f>
        <v>1600</v>
      </c>
    </row>
    <row r="39" spans="2:6" x14ac:dyDescent="0.25">
      <c r="B39" s="80"/>
      <c r="C39" s="80"/>
    </row>
    <row r="40" spans="2:6" x14ac:dyDescent="0.25">
      <c r="B40" s="80"/>
      <c r="C40" s="80"/>
      <c r="E40" t="s">
        <v>177</v>
      </c>
      <c r="F40" s="70">
        <f>F38*F37</f>
        <v>533.33333333333326</v>
      </c>
    </row>
  </sheetData>
  <mergeCells count="20">
    <mergeCell ref="B34:C40"/>
    <mergeCell ref="E34:F34"/>
    <mergeCell ref="C18:D18"/>
    <mergeCell ref="C19:D19"/>
    <mergeCell ref="C21:D21"/>
    <mergeCell ref="C22:D22"/>
    <mergeCell ref="C23:D23"/>
    <mergeCell ref="C24:D24"/>
    <mergeCell ref="C11:D11"/>
    <mergeCell ref="C12:D12"/>
    <mergeCell ref="C13:D13"/>
    <mergeCell ref="C14:D14"/>
    <mergeCell ref="C15:D15"/>
    <mergeCell ref="C16:D16"/>
    <mergeCell ref="C4:C5"/>
    <mergeCell ref="D4:D5"/>
    <mergeCell ref="C6:D6"/>
    <mergeCell ref="C7:D7"/>
    <mergeCell ref="C8:D8"/>
    <mergeCell ref="C9:D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TARIFAS</vt:lpstr>
      <vt:lpstr>RIF</vt:lpstr>
      <vt:lpstr>CEDULA IVA </vt:lpstr>
      <vt:lpstr>PROPORCION</vt:lpstr>
      <vt:lpstr>IVA RIF</vt:lpstr>
      <vt:lpstr>IVA, IEPS, P.G.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decoslipk@hotmail.com</dc:creator>
  <cp:lastModifiedBy>decoslipk@hotmail.com</cp:lastModifiedBy>
  <dcterms:created xsi:type="dcterms:W3CDTF">2023-01-10T15:33:16Z</dcterms:created>
  <dcterms:modified xsi:type="dcterms:W3CDTF">2023-01-10T16:34:48Z</dcterms:modified>
</cp:coreProperties>
</file>