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 RESPALDO\00 YOUTUBE TAX Y ALAN B\CALCULOS 2023 ANEXO 8\CALCULO DE NOMINA\"/>
    </mc:Choice>
  </mc:AlternateContent>
  <bookViews>
    <workbookView xWindow="0" yWindow="0" windowWidth="20490" windowHeight="7350" firstSheet="6" activeTab="9"/>
  </bookViews>
  <sheets>
    <sheet name="Presentacion" sheetId="9" r:id="rId1"/>
    <sheet name="1" sheetId="1" r:id="rId2"/>
    <sheet name="2" sheetId="2" r:id="rId3"/>
    <sheet name="3" sheetId="4" r:id="rId4"/>
    <sheet name="4" sheetId="5" r:id="rId5"/>
    <sheet name="5" sheetId="6" r:id="rId6"/>
    <sheet name="6" sheetId="7" r:id="rId7"/>
    <sheet name="7" sheetId="8" r:id="rId8"/>
    <sheet name="EXENTOS " sheetId="19" r:id="rId9"/>
    <sheet name="SALARIOS " sheetId="13" r:id="rId10"/>
    <sheet name="NOMINA MASIVA " sheetId="18" state="hidden" r:id="rId11"/>
    <sheet name="COMPROBACION NOMINA " sheetId="20" r:id="rId12"/>
    <sheet name="ISR NOMINA MASIVA " sheetId="21" r:id="rId13"/>
    <sheet name="FONDO DE AHORRO" sheetId="22" r:id="rId14"/>
    <sheet name="VD" sheetId="23" r:id="rId15"/>
    <sheet name="RIF " sheetId="11" state="hidden" r:id="rId16"/>
    <sheet name="ACTIVIDAD EMPRESARIAL " sheetId="10" state="hidden" r:id="rId17"/>
    <sheet name="ARRENDAMIENTO " sheetId="12" state="hidden" r:id="rId18"/>
    <sheet name="RESICO" sheetId="15" state="hidden" r:id="rId19"/>
    <sheet name="PLATAFORMAS " sheetId="16" state="hidden" r:id="rId20"/>
    <sheet name="IVA" sheetId="14" state="hidden" r:id="rId21"/>
    <sheet name="ISR ANUAL " sheetId="17" state="hidden" r:id="rId22"/>
  </sheets>
  <externalReferences>
    <externalReference r:id="rId23"/>
    <externalReference r:id="rId24"/>
    <externalReference r:id="rId25"/>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6" i="13" l="1"/>
  <c r="E3" i="13"/>
  <c r="E11" i="20"/>
  <c r="E17" i="23"/>
  <c r="C12" i="23"/>
  <c r="C13" i="23" s="1"/>
  <c r="I8" i="22"/>
  <c r="L8" i="22" s="1"/>
  <c r="G8" i="22"/>
  <c r="E8" i="22"/>
  <c r="K7" i="22"/>
  <c r="I7" i="22"/>
  <c r="L7" i="22" s="1"/>
  <c r="G7" i="22"/>
  <c r="G12" i="22" s="1"/>
  <c r="E7" i="22"/>
  <c r="F39" i="21"/>
  <c r="G39" i="21" s="1"/>
  <c r="G38" i="21"/>
  <c r="J38" i="21" s="1"/>
  <c r="F38" i="21"/>
  <c r="F37" i="21"/>
  <c r="G37" i="21" s="1"/>
  <c r="F36" i="21"/>
  <c r="G36" i="21" s="1"/>
  <c r="F35" i="21"/>
  <c r="G35" i="21" s="1"/>
  <c r="G34" i="21"/>
  <c r="N34" i="21" s="1"/>
  <c r="P34" i="21" s="1"/>
  <c r="F34" i="21"/>
  <c r="F33" i="21"/>
  <c r="G33" i="21" s="1"/>
  <c r="F32" i="21"/>
  <c r="G32" i="21" s="1"/>
  <c r="N32" i="21" s="1"/>
  <c r="P32" i="21" s="1"/>
  <c r="F31" i="21"/>
  <c r="G31" i="21" s="1"/>
  <c r="G30" i="21"/>
  <c r="J30" i="21" s="1"/>
  <c r="F30" i="21"/>
  <c r="F29" i="21"/>
  <c r="G29" i="21" s="1"/>
  <c r="F28" i="21"/>
  <c r="G28" i="21" s="1"/>
  <c r="F27" i="21"/>
  <c r="G27" i="21" s="1"/>
  <c r="G26" i="21"/>
  <c r="I26" i="21" s="1"/>
  <c r="K26" i="21" s="1"/>
  <c r="M26" i="21" s="1"/>
  <c r="O26" i="21" s="1"/>
  <c r="Q26" i="21" s="1"/>
  <c r="F26" i="21"/>
  <c r="F25" i="21"/>
  <c r="G25" i="21" s="1"/>
  <c r="F24" i="21"/>
  <c r="G24" i="21" s="1"/>
  <c r="N24" i="21" s="1"/>
  <c r="P24" i="21" s="1"/>
  <c r="F23" i="21"/>
  <c r="G23" i="21" s="1"/>
  <c r="G22" i="21"/>
  <c r="N22" i="21" s="1"/>
  <c r="P22" i="21" s="1"/>
  <c r="F22" i="21"/>
  <c r="F21" i="21"/>
  <c r="G21" i="21" s="1"/>
  <c r="F20" i="21"/>
  <c r="G20" i="21" s="1"/>
  <c r="F19" i="21"/>
  <c r="G19" i="21" s="1"/>
  <c r="F18" i="21"/>
  <c r="G18" i="21" s="1"/>
  <c r="F17" i="21"/>
  <c r="G17" i="21" s="1"/>
  <c r="F16" i="21"/>
  <c r="G16" i="21" s="1"/>
  <c r="N16" i="21" s="1"/>
  <c r="P16" i="21" s="1"/>
  <c r="F15" i="21"/>
  <c r="G15" i="21" s="1"/>
  <c r="F14" i="21"/>
  <c r="G14" i="21" s="1"/>
  <c r="F13" i="21"/>
  <c r="G13" i="21" s="1"/>
  <c r="N13" i="21" s="1"/>
  <c r="P13" i="21" s="1"/>
  <c r="F12" i="21"/>
  <c r="G12" i="21" s="1"/>
  <c r="F11" i="21"/>
  <c r="G11" i="21" s="1"/>
  <c r="G10" i="21"/>
  <c r="N10" i="21" s="1"/>
  <c r="P10" i="21" s="1"/>
  <c r="F10" i="21"/>
  <c r="L38" i="21"/>
  <c r="H38" i="21"/>
  <c r="J34" i="21"/>
  <c r="H34" i="21"/>
  <c r="I34" i="21" s="1"/>
  <c r="K34" i="21" s="1"/>
  <c r="N30" i="21"/>
  <c r="P30" i="21" s="1"/>
  <c r="L30" i="21"/>
  <c r="H30" i="21"/>
  <c r="I30" i="21" s="1"/>
  <c r="K30" i="21" s="1"/>
  <c r="M30" i="21" s="1"/>
  <c r="O30" i="21" s="1"/>
  <c r="Q30" i="21" s="1"/>
  <c r="N26" i="21"/>
  <c r="P26" i="21" s="1"/>
  <c r="L26" i="21"/>
  <c r="J26" i="21"/>
  <c r="H26" i="21"/>
  <c r="L22" i="21"/>
  <c r="J22" i="21"/>
  <c r="L10" i="21"/>
  <c r="J10" i="21"/>
  <c r="G9" i="21"/>
  <c r="O3" i="21"/>
  <c r="H11" i="13"/>
  <c r="J11" i="13" s="1"/>
  <c r="D8" i="13" s="1"/>
  <c r="D17" i="13" s="1"/>
  <c r="D18" i="13" s="1"/>
  <c r="F9" i="21"/>
  <c r="J9" i="2"/>
  <c r="C39" i="21"/>
  <c r="C38" i="21"/>
  <c r="C37" i="21"/>
  <c r="C36" i="21"/>
  <c r="C35" i="21"/>
  <c r="C34" i="21"/>
  <c r="C33" i="21"/>
  <c r="C32" i="21"/>
  <c r="C31" i="21"/>
  <c r="C30" i="21"/>
  <c r="C29" i="21"/>
  <c r="C28" i="21"/>
  <c r="C27" i="21"/>
  <c r="C26" i="21"/>
  <c r="C25" i="21"/>
  <c r="C24" i="21"/>
  <c r="C23" i="21"/>
  <c r="C22" i="21"/>
  <c r="C21" i="21"/>
  <c r="C20" i="21"/>
  <c r="C19" i="21"/>
  <c r="C9" i="21"/>
  <c r="E12" i="23" l="1"/>
  <c r="L9" i="22"/>
  <c r="K9" i="22"/>
  <c r="L10" i="22" s="1"/>
  <c r="L18" i="21"/>
  <c r="N18" i="21"/>
  <c r="P18" i="21" s="1"/>
  <c r="J18" i="21"/>
  <c r="L14" i="21"/>
  <c r="N14" i="21"/>
  <c r="P14" i="21" s="1"/>
  <c r="H14" i="21"/>
  <c r="I14" i="21" s="1"/>
  <c r="K14" i="21" s="1"/>
  <c r="M14" i="21" s="1"/>
  <c r="O14" i="21" s="1"/>
  <c r="Q14" i="21" s="1"/>
  <c r="L33" i="21"/>
  <c r="J33" i="21"/>
  <c r="N21" i="21"/>
  <c r="P21" i="21" s="1"/>
  <c r="H21" i="21"/>
  <c r="N27" i="21"/>
  <c r="P27" i="21" s="1"/>
  <c r="L27" i="21"/>
  <c r="H15" i="21"/>
  <c r="I15" i="21" s="1"/>
  <c r="J15" i="21"/>
  <c r="H28" i="21"/>
  <c r="I28" i="21"/>
  <c r="K28" i="21" s="1"/>
  <c r="M28" i="21" s="1"/>
  <c r="O28" i="21" s="1"/>
  <c r="Q28" i="21" s="1"/>
  <c r="N28" i="21"/>
  <c r="P28" i="21" s="1"/>
  <c r="L28" i="21"/>
  <c r="J28" i="21"/>
  <c r="L20" i="21"/>
  <c r="J20" i="21"/>
  <c r="H20" i="21"/>
  <c r="I20" i="21" s="1"/>
  <c r="K20" i="21" s="1"/>
  <c r="M20" i="21" s="1"/>
  <c r="O20" i="21" s="1"/>
  <c r="Q20" i="21" s="1"/>
  <c r="N20" i="21"/>
  <c r="P20" i="21" s="1"/>
  <c r="H29" i="21"/>
  <c r="N29" i="21"/>
  <c r="P29" i="21" s="1"/>
  <c r="N35" i="21"/>
  <c r="P35" i="21" s="1"/>
  <c r="L35" i="21"/>
  <c r="L17" i="21"/>
  <c r="J17" i="21"/>
  <c r="H23" i="21"/>
  <c r="I23" i="21" s="1"/>
  <c r="J23" i="21"/>
  <c r="N36" i="21"/>
  <c r="P36" i="21" s="1"/>
  <c r="L36" i="21"/>
  <c r="J36" i="21"/>
  <c r="H36" i="21"/>
  <c r="I36" i="21" s="1"/>
  <c r="K36" i="21" s="1"/>
  <c r="M36" i="21" s="1"/>
  <c r="O36" i="21" s="1"/>
  <c r="Q36" i="21" s="1"/>
  <c r="N11" i="21"/>
  <c r="P11" i="21" s="1"/>
  <c r="L11" i="21"/>
  <c r="H37" i="21"/>
  <c r="I37" i="21" s="1"/>
  <c r="N37" i="21"/>
  <c r="P37" i="21" s="1"/>
  <c r="N12" i="21"/>
  <c r="P12" i="21" s="1"/>
  <c r="L12" i="21"/>
  <c r="J12" i="21"/>
  <c r="H12" i="21"/>
  <c r="I12" i="21" s="1"/>
  <c r="K12" i="21" s="1"/>
  <c r="M12" i="21" s="1"/>
  <c r="O12" i="21" s="1"/>
  <c r="Q12" i="21" s="1"/>
  <c r="L25" i="21"/>
  <c r="J25" i="21"/>
  <c r="J31" i="21"/>
  <c r="H31" i="21"/>
  <c r="I31" i="21" s="1"/>
  <c r="N19" i="21"/>
  <c r="P19" i="21" s="1"/>
  <c r="L19" i="21"/>
  <c r="J39" i="21"/>
  <c r="H39" i="21"/>
  <c r="I39" i="21" s="1"/>
  <c r="J14" i="21"/>
  <c r="L34" i="21"/>
  <c r="M34" i="21" s="1"/>
  <c r="O34" i="21" s="1"/>
  <c r="Q34" i="21" s="1"/>
  <c r="H10" i="21"/>
  <c r="I10" i="21" s="1"/>
  <c r="K10" i="21" s="1"/>
  <c r="M10" i="21" s="1"/>
  <c r="O10" i="21" s="1"/>
  <c r="Q10" i="21" s="1"/>
  <c r="H18" i="21"/>
  <c r="I18" i="21" s="1"/>
  <c r="K18" i="21" s="1"/>
  <c r="M18" i="21" s="1"/>
  <c r="O18" i="21" s="1"/>
  <c r="Q18" i="21" s="1"/>
  <c r="H22" i="21"/>
  <c r="I22" i="21" s="1"/>
  <c r="K22" i="21" s="1"/>
  <c r="M22" i="21" s="1"/>
  <c r="O22" i="21" s="1"/>
  <c r="Q22" i="21" s="1"/>
  <c r="H16" i="21"/>
  <c r="I16" i="21" s="1"/>
  <c r="I21" i="21"/>
  <c r="I29" i="21"/>
  <c r="H32" i="21"/>
  <c r="I32" i="21" s="1"/>
  <c r="K32" i="21" s="1"/>
  <c r="M32" i="21" s="1"/>
  <c r="O32" i="21" s="1"/>
  <c r="Q32" i="21" s="1"/>
  <c r="N38" i="21"/>
  <c r="P38" i="21" s="1"/>
  <c r="H24" i="21"/>
  <c r="H11" i="21"/>
  <c r="I11" i="21" s="1"/>
  <c r="J13" i="21"/>
  <c r="L15" i="21"/>
  <c r="N17" i="21"/>
  <c r="P17" i="21" s="1"/>
  <c r="H19" i="21"/>
  <c r="I19" i="21" s="1"/>
  <c r="K19" i="21" s="1"/>
  <c r="M19" i="21" s="1"/>
  <c r="O19" i="21" s="1"/>
  <c r="Q19" i="21" s="1"/>
  <c r="J21" i="21"/>
  <c r="L23" i="21"/>
  <c r="I24" i="21"/>
  <c r="N25" i="21"/>
  <c r="P25" i="21" s="1"/>
  <c r="H27" i="21"/>
  <c r="I27" i="21" s="1"/>
  <c r="J29" i="21"/>
  <c r="L31" i="21"/>
  <c r="N33" i="21"/>
  <c r="P33" i="21" s="1"/>
  <c r="H35" i="21"/>
  <c r="I35" i="21" s="1"/>
  <c r="K35" i="21" s="1"/>
  <c r="M35" i="21" s="1"/>
  <c r="O35" i="21" s="1"/>
  <c r="Q35" i="21" s="1"/>
  <c r="J37" i="21"/>
  <c r="L39" i="21"/>
  <c r="J16" i="21"/>
  <c r="J24" i="21"/>
  <c r="J32" i="21"/>
  <c r="J11" i="21"/>
  <c r="L13" i="21"/>
  <c r="N15" i="21"/>
  <c r="P15" i="21" s="1"/>
  <c r="H17" i="21"/>
  <c r="I17" i="21" s="1"/>
  <c r="J19" i="21"/>
  <c r="L21" i="21"/>
  <c r="N23" i="21"/>
  <c r="P23" i="21" s="1"/>
  <c r="H25" i="21"/>
  <c r="I25" i="21" s="1"/>
  <c r="K25" i="21" s="1"/>
  <c r="M25" i="21" s="1"/>
  <c r="O25" i="21" s="1"/>
  <c r="Q25" i="21" s="1"/>
  <c r="J27" i="21"/>
  <c r="L29" i="21"/>
  <c r="N31" i="21"/>
  <c r="P31" i="21" s="1"/>
  <c r="H33" i="21"/>
  <c r="I33" i="21" s="1"/>
  <c r="K33" i="21" s="1"/>
  <c r="M33" i="21" s="1"/>
  <c r="O33" i="21" s="1"/>
  <c r="Q33" i="21" s="1"/>
  <c r="J35" i="21"/>
  <c r="L37" i="21"/>
  <c r="I38" i="21"/>
  <c r="K38" i="21" s="1"/>
  <c r="M38" i="21" s="1"/>
  <c r="O38" i="21" s="1"/>
  <c r="Q38" i="21" s="1"/>
  <c r="N39" i="21"/>
  <c r="P39" i="21" s="1"/>
  <c r="H13" i="21"/>
  <c r="I13" i="21" s="1"/>
  <c r="K13" i="21" s="1"/>
  <c r="L16" i="21"/>
  <c r="L24" i="21"/>
  <c r="L32" i="21"/>
  <c r="N9" i="21"/>
  <c r="P9" i="21" s="1"/>
  <c r="H9" i="21"/>
  <c r="I9" i="21" s="1"/>
  <c r="J9" i="21"/>
  <c r="L9" i="21"/>
  <c r="M13" i="21" l="1"/>
  <c r="O13" i="21" s="1"/>
  <c r="Q13" i="21" s="1"/>
  <c r="K15" i="21"/>
  <c r="M15" i="21" s="1"/>
  <c r="O15" i="21" s="1"/>
  <c r="Q15" i="21" s="1"/>
  <c r="K16" i="21"/>
  <c r="M16" i="21" s="1"/>
  <c r="O16" i="21" s="1"/>
  <c r="Q16" i="21" s="1"/>
  <c r="K11" i="21"/>
  <c r="M11" i="21" s="1"/>
  <c r="O11" i="21" s="1"/>
  <c r="Q11" i="21" s="1"/>
  <c r="K31" i="21"/>
  <c r="M31" i="21" s="1"/>
  <c r="O31" i="21" s="1"/>
  <c r="Q31" i="21" s="1"/>
  <c r="K17" i="21"/>
  <c r="M17" i="21" s="1"/>
  <c r="O17" i="21" s="1"/>
  <c r="Q17" i="21" s="1"/>
  <c r="K24" i="21"/>
  <c r="M24" i="21" s="1"/>
  <c r="O24" i="21" s="1"/>
  <c r="Q24" i="21" s="1"/>
  <c r="K39" i="21"/>
  <c r="M39" i="21" s="1"/>
  <c r="O39" i="21" s="1"/>
  <c r="K23" i="21"/>
  <c r="M23" i="21" s="1"/>
  <c r="O23" i="21" s="1"/>
  <c r="Q23" i="21" s="1"/>
  <c r="Q39" i="21"/>
  <c r="K37" i="21"/>
  <c r="M37" i="21" s="1"/>
  <c r="O37" i="21" s="1"/>
  <c r="Q37" i="21" s="1"/>
  <c r="K27" i="21"/>
  <c r="M27" i="21" s="1"/>
  <c r="O27" i="21" s="1"/>
  <c r="Q27" i="21" s="1"/>
  <c r="K29" i="21"/>
  <c r="M29" i="21" s="1"/>
  <c r="O29" i="21" s="1"/>
  <c r="Q29" i="21" s="1"/>
  <c r="K21" i="21"/>
  <c r="M21" i="21" s="1"/>
  <c r="O21" i="21" s="1"/>
  <c r="Q21" i="21" s="1"/>
  <c r="K9" i="21"/>
  <c r="M9" i="21" s="1"/>
  <c r="O9" i="21" l="1"/>
  <c r="Q9" i="21" s="1"/>
  <c r="M51" i="13" l="1"/>
  <c r="M50" i="13"/>
  <c r="M49" i="13"/>
  <c r="M68" i="13"/>
  <c r="M67" i="13"/>
  <c r="M66" i="13"/>
  <c r="M83" i="13"/>
  <c r="D88" i="13"/>
  <c r="M84" i="13" s="1"/>
  <c r="M85" i="13" s="1"/>
  <c r="H30" i="13"/>
  <c r="J36" i="13" s="1"/>
  <c r="J7" i="13"/>
  <c r="J44" i="13" s="1"/>
  <c r="J85" i="13"/>
  <c r="J84" i="13"/>
  <c r="H82" i="13"/>
  <c r="J88" i="13" s="1"/>
  <c r="J68" i="13"/>
  <c r="J67" i="13"/>
  <c r="J66" i="13"/>
  <c r="H65" i="13"/>
  <c r="J71" i="13" s="1"/>
  <c r="J51" i="13"/>
  <c r="J50" i="13"/>
  <c r="J49" i="13"/>
  <c r="H48" i="13"/>
  <c r="J54" i="13" s="1"/>
  <c r="J33" i="13"/>
  <c r="J32" i="13"/>
  <c r="J31" i="13"/>
  <c r="K15" i="19"/>
  <c r="J15" i="19" s="1"/>
  <c r="K13" i="19"/>
  <c r="J11" i="19"/>
  <c r="K11" i="19"/>
  <c r="J14" i="19"/>
  <c r="K14" i="19"/>
  <c r="I14" i="19"/>
  <c r="I12" i="19"/>
  <c r="I13" i="19" s="1"/>
  <c r="I11" i="19"/>
  <c r="I9" i="19"/>
  <c r="J5" i="19"/>
  <c r="J8" i="19"/>
  <c r="I8" i="19"/>
  <c r="J65" i="13" l="1"/>
  <c r="J70" i="13"/>
  <c r="D63" i="13" s="1"/>
  <c r="D70" i="13" s="1"/>
  <c r="M71" i="13"/>
  <c r="M54" i="13"/>
  <c r="M55" i="13" s="1"/>
  <c r="M88" i="13"/>
  <c r="M89" i="13" s="1"/>
  <c r="J48" i="13"/>
  <c r="J53" i="13" s="1"/>
  <c r="D47" i="13" s="1"/>
  <c r="J82" i="13"/>
  <c r="J87" i="13" s="1"/>
  <c r="D81" i="13" s="1"/>
  <c r="J30" i="13"/>
  <c r="J35" i="13" s="1"/>
  <c r="D28" i="13" s="1"/>
  <c r="J13" i="19"/>
  <c r="K9" i="19"/>
  <c r="D66" i="13" l="1"/>
  <c r="D64" i="13"/>
  <c r="D86" i="13"/>
  <c r="D84" i="13"/>
  <c r="D82" i="13"/>
  <c r="D68" i="13"/>
  <c r="D52" i="13"/>
  <c r="D48" i="13"/>
  <c r="D50" i="13"/>
  <c r="D54" i="13"/>
  <c r="D35" i="13"/>
  <c r="M32" i="13" s="1"/>
  <c r="D33" i="13"/>
  <c r="D31" i="13"/>
  <c r="D29" i="13"/>
  <c r="J9" i="19"/>
  <c r="J13" i="13" l="1"/>
  <c r="J14" i="13" l="1"/>
  <c r="J17" i="13"/>
  <c r="D13" i="13" l="1"/>
  <c r="D11" i="13"/>
  <c r="D9" i="13"/>
  <c r="M13" i="13" l="1"/>
  <c r="D83" i="13"/>
  <c r="D85" i="13" s="1"/>
  <c r="D87" i="13" s="1"/>
  <c r="D65" i="13"/>
  <c r="D49" i="13"/>
  <c r="D30" i="13"/>
  <c r="D32" i="13" s="1"/>
  <c r="D34" i="13" s="1"/>
  <c r="M31" i="13" s="1"/>
  <c r="D10" i="13"/>
  <c r="D12" i="13" s="1"/>
  <c r="D14" i="13" s="1"/>
  <c r="D15" i="13" s="1"/>
  <c r="D51" i="13" l="1"/>
  <c r="D53" i="13" s="1"/>
  <c r="M12" i="13"/>
  <c r="M36" i="13"/>
  <c r="M37" i="13" s="1"/>
  <c r="M33" i="13"/>
  <c r="D67" i="13"/>
  <c r="D69" i="13" s="1"/>
  <c r="M14" i="13" l="1"/>
  <c r="D16" i="13"/>
  <c r="D19" i="13"/>
  <c r="D21" i="13" s="1"/>
  <c r="M17" i="13"/>
  <c r="M18" i="13" s="1"/>
  <c r="D20" i="13" l="1"/>
  <c r="F34" i="17" l="1"/>
  <c r="F20" i="17"/>
  <c r="F14" i="17"/>
  <c r="N30" i="14"/>
  <c r="M30" i="14"/>
  <c r="L30" i="14"/>
  <c r="K30" i="14"/>
  <c r="N34" i="14"/>
  <c r="I34" i="14"/>
  <c r="H34" i="14"/>
  <c r="F34" i="14"/>
  <c r="N33" i="14"/>
  <c r="M33" i="14"/>
  <c r="L33" i="14"/>
  <c r="K33" i="14"/>
  <c r="J33" i="14"/>
  <c r="I33" i="14"/>
  <c r="H33" i="14"/>
  <c r="G33" i="14"/>
  <c r="F33" i="14"/>
  <c r="E33" i="14"/>
  <c r="O33" i="14" s="1"/>
  <c r="D33" i="14"/>
  <c r="O32" i="14"/>
  <c r="N31" i="14"/>
  <c r="M31" i="14"/>
  <c r="L31" i="14"/>
  <c r="K31" i="14"/>
  <c r="K34" i="14" s="1"/>
  <c r="J31" i="14"/>
  <c r="I31" i="14"/>
  <c r="H31" i="14"/>
  <c r="G31" i="14"/>
  <c r="F31" i="14"/>
  <c r="E31" i="14"/>
  <c r="D31" i="14"/>
  <c r="C31" i="14"/>
  <c r="O31" i="14" s="1"/>
  <c r="J30" i="14"/>
  <c r="J34" i="14" s="1"/>
  <c r="I30" i="14"/>
  <c r="G30" i="14"/>
  <c r="G34" i="14" s="1"/>
  <c r="F30" i="14"/>
  <c r="E30" i="14"/>
  <c r="E34" i="14" s="1"/>
  <c r="D30" i="14"/>
  <c r="D34" i="14" s="1"/>
  <c r="C30" i="14"/>
  <c r="N28" i="14"/>
  <c r="M28" i="14"/>
  <c r="L28" i="14"/>
  <c r="K28" i="14"/>
  <c r="J28" i="14"/>
  <c r="I28" i="14"/>
  <c r="H28" i="14"/>
  <c r="G28" i="14"/>
  <c r="F28" i="14"/>
  <c r="E28" i="14"/>
  <c r="D28" i="14"/>
  <c r="C28" i="14"/>
  <c r="O28" i="14" s="1"/>
  <c r="O27" i="14"/>
  <c r="O25" i="14"/>
  <c r="O24" i="14"/>
  <c r="N19" i="14"/>
  <c r="M19" i="14"/>
  <c r="L19" i="14"/>
  <c r="K19" i="14"/>
  <c r="J19" i="14"/>
  <c r="I19" i="14"/>
  <c r="H19" i="14"/>
  <c r="H21" i="14" s="1"/>
  <c r="H37" i="14" s="1"/>
  <c r="G19" i="14"/>
  <c r="F19" i="14"/>
  <c r="E19" i="14"/>
  <c r="D19" i="14"/>
  <c r="C19" i="14"/>
  <c r="N18" i="14"/>
  <c r="N21" i="14" s="1"/>
  <c r="M18" i="14"/>
  <c r="M21" i="14" s="1"/>
  <c r="L18" i="14"/>
  <c r="L21" i="14" s="1"/>
  <c r="K18" i="14"/>
  <c r="K21" i="14" s="1"/>
  <c r="J18" i="14"/>
  <c r="J21" i="14" s="1"/>
  <c r="I18" i="14"/>
  <c r="H18" i="14"/>
  <c r="G18" i="14"/>
  <c r="F18" i="14"/>
  <c r="F21" i="14" s="1"/>
  <c r="F37" i="14" s="1"/>
  <c r="E18" i="14"/>
  <c r="D18" i="14"/>
  <c r="D21" i="14" s="1"/>
  <c r="C18" i="14"/>
  <c r="C21" i="14" s="1"/>
  <c r="O15" i="14"/>
  <c r="O14" i="14"/>
  <c r="O13" i="14"/>
  <c r="O12" i="14"/>
  <c r="N16" i="14"/>
  <c r="M16" i="14"/>
  <c r="L16" i="14"/>
  <c r="K16" i="14"/>
  <c r="J16" i="14"/>
  <c r="I16" i="14"/>
  <c r="H16" i="14"/>
  <c r="G16" i="14"/>
  <c r="F16" i="14"/>
  <c r="E16" i="14"/>
  <c r="D16" i="14"/>
  <c r="C16" i="14"/>
  <c r="O10" i="14"/>
  <c r="F22" i="17" l="1"/>
  <c r="F27" i="17"/>
  <c r="F23" i="17"/>
  <c r="F24" i="17" s="1"/>
  <c r="F26" i="17" s="1"/>
  <c r="F28" i="17" s="1"/>
  <c r="F30" i="17" s="1"/>
  <c r="F25" i="17"/>
  <c r="O30" i="14"/>
  <c r="L34" i="14"/>
  <c r="L38" i="14" s="1"/>
  <c r="K37" i="14"/>
  <c r="M34" i="14"/>
  <c r="N37" i="14"/>
  <c r="I21" i="14"/>
  <c r="K38" i="14"/>
  <c r="G21" i="14"/>
  <c r="G38" i="14" s="1"/>
  <c r="O19" i="14"/>
  <c r="D38" i="14"/>
  <c r="D37" i="14"/>
  <c r="I37" i="14"/>
  <c r="I38" i="14"/>
  <c r="J38" i="14"/>
  <c r="J37" i="14"/>
  <c r="O16" i="14"/>
  <c r="M37" i="14"/>
  <c r="M38" i="14"/>
  <c r="G37" i="14"/>
  <c r="E20" i="14"/>
  <c r="F38" i="14"/>
  <c r="N38" i="14"/>
  <c r="O18" i="14"/>
  <c r="C34" i="14"/>
  <c r="H38" i="14"/>
  <c r="D22" i="5"/>
  <c r="D21" i="5"/>
  <c r="D20" i="5"/>
  <c r="D19" i="5"/>
  <c r="D18" i="5"/>
  <c r="D17" i="5"/>
  <c r="D16" i="5"/>
  <c r="D15" i="5"/>
  <c r="D14" i="5"/>
  <c r="D13" i="5"/>
  <c r="C103" i="2"/>
  <c r="C104" i="2"/>
  <c r="C105" i="2"/>
  <c r="C106" i="2"/>
  <c r="C107" i="2"/>
  <c r="C108" i="2"/>
  <c r="C109" i="2"/>
  <c r="C110" i="2"/>
  <c r="C111" i="2"/>
  <c r="C102" i="2"/>
  <c r="C53" i="2"/>
  <c r="C54" i="2"/>
  <c r="C55" i="2"/>
  <c r="C56" i="2"/>
  <c r="C57" i="2"/>
  <c r="C58" i="2"/>
  <c r="C59" i="2"/>
  <c r="C60" i="2"/>
  <c r="C61" i="2"/>
  <c r="C52" i="2"/>
  <c r="D28" i="2"/>
  <c r="E28" i="2" s="1"/>
  <c r="F37" i="17" l="1"/>
  <c r="F38" i="17"/>
  <c r="L37" i="14"/>
  <c r="O20" i="14"/>
  <c r="E36" i="14"/>
  <c r="E21" i="14"/>
  <c r="O21" i="14"/>
  <c r="O34" i="14"/>
  <c r="C38" i="14"/>
  <c r="C37" i="14"/>
  <c r="C40" i="14" l="1"/>
  <c r="E38" i="14"/>
  <c r="O38" i="14" s="1"/>
  <c r="E37" i="14"/>
  <c r="O37" i="14" l="1"/>
  <c r="C41" i="14"/>
  <c r="D39" i="14" s="1"/>
  <c r="D40" i="14" s="1"/>
  <c r="D41" i="14" s="1"/>
  <c r="E39" i="14" s="1"/>
  <c r="E40" i="14" s="1"/>
  <c r="E41" i="14" s="1"/>
  <c r="F39" i="14" s="1"/>
  <c r="F40" i="14" s="1"/>
  <c r="F41" i="14" s="1"/>
  <c r="G39" i="14" s="1"/>
  <c r="G40" i="14" s="1"/>
  <c r="G41" i="14" s="1"/>
  <c r="H39" i="14" s="1"/>
  <c r="H40" i="14" s="1"/>
  <c r="H41" i="14" s="1"/>
  <c r="I39" i="14" s="1"/>
  <c r="I40" i="14" s="1"/>
  <c r="I41" i="14" s="1"/>
  <c r="J39" i="14" s="1"/>
  <c r="J40" i="14" s="1"/>
  <c r="J41" i="14" s="1"/>
  <c r="K39" i="14" s="1"/>
  <c r="K40" i="14" s="1"/>
  <c r="K41" i="14" s="1"/>
  <c r="L39" i="14" s="1"/>
  <c r="L40" i="14" s="1"/>
  <c r="L41" i="14" s="1"/>
  <c r="M39" i="14" s="1"/>
  <c r="M40" i="14" s="1"/>
  <c r="M41" i="14" s="1"/>
  <c r="N39" i="14" s="1"/>
  <c r="N40" i="14" s="1"/>
  <c r="N41" i="14" s="1"/>
  <c r="O39" i="14" s="1"/>
  <c r="O40" i="14" l="1"/>
</calcChain>
</file>

<file path=xl/sharedStrings.xml><?xml version="1.0" encoding="utf-8"?>
<sst xmlns="http://schemas.openxmlformats.org/spreadsheetml/2006/main" count="927" uniqueCount="504">
  <si>
    <t>Enajenación de Inmuebles</t>
  </si>
  <si>
    <t>Límite inferior en $</t>
  </si>
  <si>
    <t>Límite superior en $</t>
  </si>
  <si>
    <t>Cuota fija en $</t>
  </si>
  <si>
    <r>
      <t>Porcentaje</t>
    </r>
    <r>
      <rPr>
        <sz val="11"/>
        <color theme="1"/>
        <rFont val="Calibri"/>
        <family val="2"/>
        <scheme val="minor"/>
      </rPr>
      <t> </t>
    </r>
    <r>
      <rPr>
        <b/>
        <sz val="11"/>
        <color theme="1"/>
        <rFont val="Calibri"/>
        <family val="2"/>
        <scheme val="minor"/>
      </rPr>
      <t>para aplicarse sobre el excedente del límite inferior</t>
    </r>
  </si>
  <si>
    <t>En adelante</t>
  </si>
  <si>
    <t>Tarifa para el cálculo de los pagos provisionales que se deban efectuar durante 2021, tratándose de la enajenación de inmuebles a que se refiere la regla 3.15.4., de la Resolución Miscelánea Fiscal para 2023.</t>
  </si>
  <si>
    <t>Retenciones periódicas de ISR:</t>
  </si>
  <si>
    <t>Retención Diaria</t>
  </si>
  <si>
    <t>Subsidio Diario</t>
  </si>
  <si>
    <t>Para Ingresos de $</t>
  </si>
  <si>
    <t>Hasta Ingresos de $</t>
  </si>
  <si>
    <t>Cantidad de subsidio para el empleo diario en $</t>
  </si>
  <si>
    <t>Tabla que incluye el subsidio para el empleo, aplicable a la tarifa de retenciones diarias de ISR.</t>
  </si>
  <si>
    <t>Límite inferior 1 en $</t>
  </si>
  <si>
    <t>Límite inferior 2 en $</t>
  </si>
  <si>
    <r>
      <t>Porcentaje</t>
    </r>
    <r>
      <rPr>
        <sz val="11"/>
        <color theme="1"/>
        <rFont val="Calibri"/>
        <family val="2"/>
        <scheme val="minor"/>
      </rPr>
      <t> </t>
    </r>
    <r>
      <rPr>
        <b/>
        <sz val="11"/>
        <color theme="1"/>
        <rFont val="Calibri"/>
        <family val="2"/>
        <scheme val="minor"/>
      </rPr>
      <t>para aplicarse sobre el excedente del límite inferior 1</t>
    </r>
  </si>
  <si>
    <t>Subsidio para el empleo diario</t>
  </si>
  <si>
    <t>Retención Semanal</t>
  </si>
  <si>
    <t>Subsidio Semanal</t>
  </si>
  <si>
    <t>Tabla que incluye el subsidio para el empleo, aplicable a la tarifa de retenciones semanales de ISR.</t>
  </si>
  <si>
    <t>Subsidio para el empleo semanal</t>
  </si>
  <si>
    <t>Retención Decenal</t>
  </si>
  <si>
    <t>Subsidio Decenal</t>
  </si>
  <si>
    <t>Cantidad de subsidio para el empleo decenal en $</t>
  </si>
  <si>
    <t>Tarifa que incluye el subsidio para el empleo, aplicable a la tarifa de pagos decenales.</t>
  </si>
  <si>
    <t>Subsidio para el empleo decenal</t>
  </si>
  <si>
    <t>Retención Quincenal</t>
  </si>
  <si>
    <t>Subsidio Quincenal</t>
  </si>
  <si>
    <t>Cantidad de subsidio para el empleo quincenal en $</t>
  </si>
  <si>
    <t>Cambio respecto 2022</t>
  </si>
  <si>
    <t>Tabla que incluye el subsidio para el empleo aplicable a la tarifa de los pagos quincenales.</t>
  </si>
  <si>
    <t>Procentaje para aplicarse sobre el excedente del límite inferior 1</t>
  </si>
  <si>
    <r>
      <t>Subsidio para el empleo quincena</t>
    </r>
    <r>
      <rPr>
        <sz val="11"/>
        <color theme="1"/>
        <rFont val="Calibri"/>
        <family val="2"/>
        <scheme val="minor"/>
      </rPr>
      <t>l</t>
    </r>
  </si>
  <si>
    <t>Retención Mensual</t>
  </si>
  <si>
    <t>Subsidio Mensual</t>
  </si>
  <si>
    <t>Procentaje para aplicarse sobre el excedente del límite inferior</t>
  </si>
  <si>
    <t>Cantidad de subsidio para el empleo mensual en $</t>
  </si>
  <si>
    <t>Tabla que incluye el subsidio para el empleo aplicable a la tarifa de las retenciones mensuales.</t>
  </si>
  <si>
    <t>Porcentaje para aplicarse sobre el excedente del límite inferior 1</t>
  </si>
  <si>
    <t>Subsidio para el empleo mensual</t>
  </si>
  <si>
    <t>Tarifas mensuales de pagos provisionales de ISR para 
Personas Físicas con Actividad Empresarial:</t>
  </si>
  <si>
    <t>Enero</t>
  </si>
  <si>
    <t>Febrero</t>
  </si>
  <si>
    <t>Marzo</t>
  </si>
  <si>
    <t>Abril</t>
  </si>
  <si>
    <t>Mayo</t>
  </si>
  <si>
    <t>Junio</t>
  </si>
  <si>
    <t>Julio</t>
  </si>
  <si>
    <t>Agosto</t>
  </si>
  <si>
    <t>Septiembre</t>
  </si>
  <si>
    <t>Octubre</t>
  </si>
  <si>
    <t>Noviembre</t>
  </si>
  <si>
    <t>Diciembre</t>
  </si>
  <si>
    <t>Tarifas bimestrales para los RIF</t>
  </si>
  <si>
    <t>Tarifas provisionales para personas físicas con ingresos por arrendamiento, o por otorgar uso o goce temporal de bienes.</t>
  </si>
  <si>
    <t>Mensual</t>
  </si>
  <si>
    <t>Trimestral</t>
  </si>
  <si>
    <t>Tarifas semestrales para personas morales con actividades agrícolas y ganaderas.</t>
  </si>
  <si>
    <t>Primer Semestre (Enero – Junio)</t>
  </si>
  <si>
    <t>Segundo Semestre (Julio – Diciembre)</t>
  </si>
  <si>
    <t>Enero – Febrero</t>
  </si>
  <si>
    <t>COEFICIENTE DE UTILIDAD</t>
  </si>
  <si>
    <t>Marzo – Abril</t>
  </si>
  <si>
    <t>Mayo – Junio</t>
  </si>
  <si>
    <t>Julio – Agosto</t>
  </si>
  <si>
    <t>Septiembre – Octubre</t>
  </si>
  <si>
    <t>Noviembre – Diciembre</t>
  </si>
  <si>
    <t>Anual</t>
  </si>
  <si>
    <t>Porcentaje para aplicarse sobre el excedente del límite inferior</t>
  </si>
  <si>
    <t>Tabla de ISR Anual 2023</t>
  </si>
  <si>
    <t>Enajenación de inmuebles</t>
  </si>
  <si>
    <t>Retenciones periódicas</t>
  </si>
  <si>
    <t>Pagos provisionales</t>
  </si>
  <si>
    <t>Arrendamiento, o por otorgar uso o goce temporal de bienes</t>
  </si>
  <si>
    <t>Actividades agrícolas y ganaderas.</t>
  </si>
  <si>
    <t>RIF</t>
  </si>
  <si>
    <t>PAGOS DEFINITIVOS</t>
  </si>
  <si>
    <t>DEFINITIVOS</t>
  </si>
  <si>
    <t>Anual 2023</t>
  </si>
  <si>
    <t>CANAL DE YOUTUBE :</t>
  </si>
  <si>
    <t>https://www.youtube.com/@consultorescontablesmexico5398/videos</t>
  </si>
  <si>
    <t>PAGINA DE FACEBOOK:</t>
  </si>
  <si>
    <t>https://www.facebook.com/00CCM20</t>
  </si>
  <si>
    <t>PAGINA WEB:</t>
  </si>
  <si>
    <t>https://www.consultorescontablesmx.com/copia-de-cursos</t>
  </si>
  <si>
    <t>VIDEO TUTORIAL CALCULO ISR 2023 PERSONAS FISICAS</t>
  </si>
  <si>
    <t xml:space="preserve">DETERMINACION DE IVA </t>
  </si>
  <si>
    <t xml:space="preserve"> </t>
  </si>
  <si>
    <t>Cta. Ing. X Vta</t>
  </si>
  <si>
    <t>Concepto</t>
  </si>
  <si>
    <t>Ene</t>
  </si>
  <si>
    <t>Feb</t>
  </si>
  <si>
    <t>Mar</t>
  </si>
  <si>
    <t>Abr</t>
  </si>
  <si>
    <t>May</t>
  </si>
  <si>
    <t>Jun</t>
  </si>
  <si>
    <t>Jul</t>
  </si>
  <si>
    <t>Ago</t>
  </si>
  <si>
    <t>Sep</t>
  </si>
  <si>
    <t>Oct</t>
  </si>
  <si>
    <t>Nov</t>
  </si>
  <si>
    <t>Dic</t>
  </si>
  <si>
    <t>TOTAL</t>
  </si>
  <si>
    <t>IVA CAUSADO</t>
  </si>
  <si>
    <t>Ingresos Gravados al 16%</t>
  </si>
  <si>
    <t>Ingresos Gravados al 16% efectivo</t>
  </si>
  <si>
    <t>Ingresos Gravados al 0%</t>
  </si>
  <si>
    <t>Ingresos Exentos</t>
  </si>
  <si>
    <t>Ingresos Gravados al 15%</t>
  </si>
  <si>
    <t>Ingresos Gravados al 10%</t>
  </si>
  <si>
    <t>Otras Bases</t>
  </si>
  <si>
    <t>Total Ingresos</t>
  </si>
  <si>
    <t>IVA trasladado al 16%</t>
  </si>
  <si>
    <t>IVA trasladado al 16 efectivo %</t>
  </si>
  <si>
    <t>IVA RETENIDO ARRENDAMIENTO</t>
  </si>
  <si>
    <t>Total IVA Trasladado</t>
  </si>
  <si>
    <t>IVA ACREDITABLE</t>
  </si>
  <si>
    <t>Base gravable al 16%</t>
  </si>
  <si>
    <t>Base gravable al 8%</t>
  </si>
  <si>
    <t>Base gravable al 0%</t>
  </si>
  <si>
    <t>Base gravable exenta</t>
  </si>
  <si>
    <t>Total Base IVA Acreditable</t>
  </si>
  <si>
    <t>IVA Acreditable al 16%</t>
  </si>
  <si>
    <t>IVA Acreditable al 8%</t>
  </si>
  <si>
    <t>IVA Retenido</t>
  </si>
  <si>
    <t>IVA Retenido Meses Anteriores</t>
  </si>
  <si>
    <t>Total IVA Acreditable</t>
  </si>
  <si>
    <t>Determinación del IVA</t>
  </si>
  <si>
    <t>IVA a cargo del periodo</t>
  </si>
  <si>
    <t>IVA a favor del periodo</t>
  </si>
  <si>
    <t>IVA pendiente por acreditar</t>
  </si>
  <si>
    <t xml:space="preserve">IVA a cargo   </t>
  </si>
  <si>
    <t>IVA a favor</t>
  </si>
  <si>
    <t xml:space="preserve">IMPUESTO AL VALOR AGREGADO </t>
  </si>
  <si>
    <t>NOMBRE:</t>
  </si>
  <si>
    <t>RFC:</t>
  </si>
  <si>
    <t>PERIODO:</t>
  </si>
  <si>
    <t>TITULO:</t>
  </si>
  <si>
    <t>CALCULO ANUAL</t>
  </si>
  <si>
    <t>DATOS ANUALES</t>
  </si>
  <si>
    <t>INGRESO ANUAL POR SYS</t>
  </si>
  <si>
    <t xml:space="preserve">TOTAL DE INGRESOS </t>
  </si>
  <si>
    <t>(-)</t>
  </si>
  <si>
    <t>EXENTOS</t>
  </si>
  <si>
    <t>DEDUCCIONES AUTORIZADAS</t>
  </si>
  <si>
    <t>TOTAL DEDUCCIONES</t>
  </si>
  <si>
    <t>ISR</t>
  </si>
  <si>
    <t>(=)</t>
  </si>
  <si>
    <t>BASE GRAVABLE</t>
  </si>
  <si>
    <t>LIMITE INFERIOR</t>
  </si>
  <si>
    <t>EXCEDENTE SOBRE LI</t>
  </si>
  <si>
    <t>(X)</t>
  </si>
  <si>
    <t>% Mg.</t>
  </si>
  <si>
    <t>IMPUESTO MARGINAL</t>
  </si>
  <si>
    <t>(+)</t>
  </si>
  <si>
    <t>CUOTA FIJA</t>
  </si>
  <si>
    <t>TOTAL ISR</t>
  </si>
  <si>
    <t>SUBSIDIO AL EMPLEO</t>
  </si>
  <si>
    <t>ISR ANTES DE P.P. Y RETENCIONES</t>
  </si>
  <si>
    <t>RETENCIONES EFECTUADAS</t>
  </si>
  <si>
    <t xml:space="preserve">ISR RET </t>
  </si>
  <si>
    <t>ISR POR SYS</t>
  </si>
  <si>
    <t>PAGOS PROVISIONALES</t>
  </si>
  <si>
    <t>ISR A CARGO, ISR A FAVOR</t>
  </si>
  <si>
    <t xml:space="preserve">CONSULTORES CONTABLES DE MEXICO </t>
  </si>
  <si>
    <t>TSGXAXX01010100</t>
  </si>
  <si>
    <t>ISR CALCULO ANUAL EJERCICIO 2023</t>
  </si>
  <si>
    <t xml:space="preserve">INGRESOS ACTIVIDAD EMPRESARIAL </t>
  </si>
  <si>
    <t>DEDUCCIONES ANUALES PERSONALES</t>
  </si>
  <si>
    <t xml:space="preserve">INGRESO MENSUAL GRAVADO </t>
  </si>
  <si>
    <t>(-) Lim. Inf.</t>
  </si>
  <si>
    <t xml:space="preserve">base </t>
  </si>
  <si>
    <t xml:space="preserve">(x) tasa </t>
  </si>
  <si>
    <t xml:space="preserve">resultado </t>
  </si>
  <si>
    <t xml:space="preserve">(+) cuota fija </t>
  </si>
  <si>
    <t>ISR MENSUAL</t>
  </si>
  <si>
    <t>ISR QUINCENAL</t>
  </si>
  <si>
    <t>(-) subsidio</t>
  </si>
  <si>
    <t>SUBSIDIO QUINCENAL</t>
  </si>
  <si>
    <t>ISR o subsidio</t>
  </si>
  <si>
    <t xml:space="preserve">neto a pagar </t>
  </si>
  <si>
    <t>CALCULADORA DE ISR QUINCENAL 2023</t>
  </si>
  <si>
    <t>CALCULADORA DE ISR MENSUAL 2023</t>
  </si>
  <si>
    <t>CALCULADORA DE ISR DECENAL 2023</t>
  </si>
  <si>
    <t>CALCULADORA De ISR SEMANAL 2023</t>
  </si>
  <si>
    <t>CALCULADORA DE ISR DIARIO 2023</t>
  </si>
  <si>
    <t>SALARIO DIARIO</t>
  </si>
  <si>
    <t>PERCEPCIONES</t>
  </si>
  <si>
    <t>DEDUCCIONES</t>
  </si>
  <si>
    <t>Monto total</t>
  </si>
  <si>
    <t>EXENTO</t>
  </si>
  <si>
    <t>GRAVADO</t>
  </si>
  <si>
    <t>salario pendiente de pago</t>
  </si>
  <si>
    <t>IMSS</t>
  </si>
  <si>
    <t>parte proporcional aguinaldo</t>
  </si>
  <si>
    <t>parte proporcional vacaciones</t>
  </si>
  <si>
    <t>prima vacacional</t>
  </si>
  <si>
    <t>TOTAL GRAVADO ISR</t>
  </si>
  <si>
    <t>TOTAL PERCEPCIONES</t>
  </si>
  <si>
    <t>NETO A PAGAR</t>
  </si>
  <si>
    <t xml:space="preserve">DIAS DE PAGO </t>
  </si>
  <si>
    <t xml:space="preserve">SALARIO DIARIO </t>
  </si>
  <si>
    <t xml:space="preserve">CONSULTORES CONTABLES DE MÉXICO </t>
  </si>
  <si>
    <t>001 - GREGORIO ALAN BECERRA TORRES</t>
  </si>
  <si>
    <t>RFC: - BETG9508097H9</t>
  </si>
  <si>
    <t>S.B.C.</t>
  </si>
  <si>
    <t>UMA</t>
  </si>
  <si>
    <t>SMG</t>
  </si>
  <si>
    <t>S.D.</t>
  </si>
  <si>
    <t xml:space="preserve">UMA </t>
  </si>
  <si>
    <t>DESCRIPCION</t>
  </si>
  <si>
    <t>PERCEPCION</t>
  </si>
  <si>
    <t xml:space="preserve">LIMITE EXENTO </t>
  </si>
  <si>
    <t>MONTO</t>
  </si>
  <si>
    <t>GRAVADO ISR</t>
  </si>
  <si>
    <t>SUELDO Y SALARIO</t>
  </si>
  <si>
    <t>ARTICULO 94 LISR</t>
  </si>
  <si>
    <t>TODO GRAVADO</t>
  </si>
  <si>
    <t>100% GRAVADO ISR</t>
  </si>
  <si>
    <t>HORAS EXTRA</t>
  </si>
  <si>
    <t>ARTICULO 93 LISR</t>
  </si>
  <si>
    <t>BONO PRODUCTIVIDAD</t>
  </si>
  <si>
    <t>AGUINALDO</t>
  </si>
  <si>
    <t>30 UMAS EXENTO</t>
  </si>
  <si>
    <t>VACACIONES</t>
  </si>
  <si>
    <t>PRIMA VACACIONAL</t>
  </si>
  <si>
    <t>15 UMAS</t>
  </si>
  <si>
    <t>PRIMA DOMINICAL</t>
  </si>
  <si>
    <t xml:space="preserve">1 UMA </t>
  </si>
  <si>
    <t>PRIMA ANTIGÜEDAD</t>
  </si>
  <si>
    <t>90 UMAS POR AÑO TRABAJADO</t>
  </si>
  <si>
    <t>INDEMNIZACION</t>
  </si>
  <si>
    <t>PAGOS POR SEPARACION</t>
  </si>
  <si>
    <t>DESPENSA</t>
  </si>
  <si>
    <t>TODO EXENTO</t>
  </si>
  <si>
    <t>40% DE LA UMA ELEVADA AL MES LSS</t>
  </si>
  <si>
    <t>APOYO TRANPORTE</t>
  </si>
  <si>
    <t>ARTICULO 96 LISR</t>
  </si>
  <si>
    <t>APOYO VIVIENDA</t>
  </si>
  <si>
    <t>20% UMA ELEVADA AL MES</t>
  </si>
  <si>
    <t>APOYO ALIMENTACION</t>
  </si>
  <si>
    <t>FONDO DE AHORRO</t>
  </si>
  <si>
    <t>13 % DEL SALARIO DIARIO DEL TRABAJADOR</t>
  </si>
  <si>
    <r>
      <t xml:space="preserve">CONSULTORES </t>
    </r>
    <r>
      <rPr>
        <b/>
        <sz val="18"/>
        <rFont val="Calibri"/>
        <family val="2"/>
        <scheme val="minor"/>
      </rPr>
      <t>CONTABLES</t>
    </r>
    <r>
      <rPr>
        <b/>
        <sz val="18"/>
        <color rgb="FFFF0000"/>
        <rFont val="Calibri"/>
        <family val="2"/>
        <scheme val="minor"/>
      </rPr>
      <t xml:space="preserve"> DE MEXICO </t>
    </r>
  </si>
  <si>
    <t>SMGF</t>
  </si>
  <si>
    <t>HORAS EXTRA DOBLES ESTARAN EXENTAS 50% Y LAS TRIPLES ESTARAN TODAS GRAVADAS, TRABAJADORES CON SALARIO MINIMO 100% EXENTO EN DOBLES</t>
  </si>
  <si>
    <t xml:space="preserve">NOTA: LOS CALCULOS MENCIONADOS SE REALIZAN CON UN SALARIO DIARIO DE $500.00 MXN </t>
  </si>
  <si>
    <t>SALARIO POR HORA</t>
  </si>
  <si>
    <t>NOTAS</t>
  </si>
  <si>
    <t>TRABAJO 4 HE2</t>
  </si>
  <si>
    <t>15 DIAS AGUINALDO 87 LFT</t>
  </si>
  <si>
    <t>BONO POR $1,000.00</t>
  </si>
  <si>
    <t>S.D. X DIAS LABORADOS</t>
  </si>
  <si>
    <t>VACACIONES 76 Y 79 LFT</t>
  </si>
  <si>
    <t xml:space="preserve">CONCEPTOS DE LIQUIDACIÓN </t>
  </si>
  <si>
    <t>EJEMPLO</t>
  </si>
  <si>
    <t xml:space="preserve">CONTRATO INDIVIDUAL </t>
  </si>
  <si>
    <t>INGRESO QUINCENAL GRAVADO</t>
  </si>
  <si>
    <t>SUBSIDIO</t>
  </si>
  <si>
    <t xml:space="preserve">ISR </t>
  </si>
  <si>
    <t>ISR QUINCENA</t>
  </si>
  <si>
    <t>DEDUCCION</t>
  </si>
  <si>
    <t>En los casos en que el impuesto a cargo del contribuyente que se obtenga de la aplicación de la tarifa del artículo 96 de la Ley del Impuesto sobre la Renta sea menor que el subsidio para el empleo mensual obtenido de conformidad con la tabla anterior, el retenedor deberá entregar al contribuyente la diferencia que se obtenga. El retenedor podrá acreditar contra el impuesto sobre la renta a su cargo o del retenido a terceros las cantidades que entregue a los contribuyentes en los términos de este párrafo. Los ingresos que perciban los contribuyentes derivados del subsidio para el empleo no serán acumulables ni formarán parte del cálculo de la base gravable de cualquier otra contribución por no tratarse de una remuneración al trabajo personal subordinado.</t>
  </si>
  <si>
    <t>Decenal: esta es una de las nóminas menos utilizadas: el pago a los empleados, se realiza cada 10 días. La razón de ser de este tipo de nómina es que suele utilizarse con aquellas personas que cobran algún tipo de comisión, y se les remunera de una manera más seguida y pronta, sin hacerlos esperar cada quince días. En total, las personas que reciben este tipo de nóminas, reciben 3 pagos durante todo el mes, que responde siempre a un mismo monto, pero desglosado en tres partes.</t>
  </si>
  <si>
    <t>INGRESO DECENAL GRAVADO</t>
  </si>
  <si>
    <t xml:space="preserve">ISR DECENAL </t>
  </si>
  <si>
    <t xml:space="preserve">INGRESO SEMANAL GRAVADO </t>
  </si>
  <si>
    <t>ISR SEMANAL</t>
  </si>
  <si>
    <t xml:space="preserve">DEDUCCIONES </t>
  </si>
  <si>
    <t xml:space="preserve">INGRESO DIARIO GRAVADO </t>
  </si>
  <si>
    <t>ISR DIARIO</t>
  </si>
  <si>
    <t>ISR MES</t>
  </si>
  <si>
    <t>ISR DECENAL</t>
  </si>
  <si>
    <t>EMPLEADOS</t>
  </si>
  <si>
    <t>Días a Pagar</t>
  </si>
  <si>
    <t>Límite inferior</t>
  </si>
  <si>
    <t>Excedente</t>
  </si>
  <si>
    <t>Porcentaje</t>
  </si>
  <si>
    <t>Impuesto marginal</t>
  </si>
  <si>
    <t>Cuota fija</t>
  </si>
  <si>
    <t>Nombre (s)</t>
  </si>
  <si>
    <t>NO. EMPLEADO</t>
  </si>
  <si>
    <t>SALARIO QUINCENAL</t>
  </si>
  <si>
    <t>SALARIO MENSUAL ISR</t>
  </si>
  <si>
    <t>GARCIA GARCIA SAMUEL</t>
  </si>
  <si>
    <t>ISR a retener QUINCENA</t>
  </si>
  <si>
    <t>SUBSIDIO MES</t>
  </si>
  <si>
    <t>SUBSIDIO QUINCENA</t>
  </si>
  <si>
    <t>ISR QUINCRNA DS</t>
  </si>
  <si>
    <t xml:space="preserve">ISR  </t>
  </si>
  <si>
    <t>ISR QUIN.</t>
  </si>
  <si>
    <t xml:space="preserve">ROSADO MENDEZ JUAN </t>
  </si>
  <si>
    <t>MONTES DE OCA MELANIE ARLET</t>
  </si>
  <si>
    <t>MENDOZA GOMEZ JOSE</t>
  </si>
  <si>
    <t xml:space="preserve">RUEDA TORRES DIEGO </t>
  </si>
  <si>
    <t>PEREZ ORTIZ JOSUE</t>
  </si>
  <si>
    <t>MORALES VIANEY JOSEFA</t>
  </si>
  <si>
    <t>PERES ORTIZ AXEL</t>
  </si>
  <si>
    <t xml:space="preserve">MORALES HERNANDEZ JOSEFA </t>
  </si>
  <si>
    <t xml:space="preserve">EMPLEADOS </t>
  </si>
  <si>
    <t>%</t>
  </si>
  <si>
    <t>EMPLEADO A</t>
  </si>
  <si>
    <t>EMPLEADO B</t>
  </si>
  <si>
    <t>EMPLEADO C</t>
  </si>
  <si>
    <t>SUELDO POR EMPLEADO</t>
  </si>
  <si>
    <t xml:space="preserve">APORTACION PATRON </t>
  </si>
  <si>
    <t>APORTACION TRABAJADOR</t>
  </si>
  <si>
    <t xml:space="preserve">INTEGRACION </t>
  </si>
  <si>
    <t>GRAVA</t>
  </si>
  <si>
    <t>Los trabajadores pueden destinar hasta el 13% de su salario para el fondo de ahorro. Esto significa que la empresa deberá hacerlo por la misma cantidad o mayor. Un ejemplo sería: si decides destinar $800 para tu fondo de ahorro (siempre que este no represente más del 13% de tu salario), el patrón otorgará la misma cantidad, por lo que si es de manera mensual, tendrás acumulado cada mes $1,600 pesos.</t>
  </si>
  <si>
    <t>INTEGRACION DE VALES DE DESPENSA</t>
  </si>
  <si>
    <t>EXENTA 40% UMA</t>
  </si>
  <si>
    <t xml:space="preserve">DIAS MENSUALES </t>
  </si>
  <si>
    <t>VALES DE DESPENSA</t>
  </si>
  <si>
    <t>PARTE EXENTA (UMA)</t>
  </si>
  <si>
    <t>PARTE GRAVABLE</t>
  </si>
  <si>
    <t>SI GRAVA</t>
  </si>
  <si>
    <t>SI EXENTA</t>
  </si>
  <si>
    <t xml:space="preserve">FORMULA PARA PARTE EXENTA </t>
  </si>
  <si>
    <t xml:space="preserve">$ 86.88 X 30 </t>
  </si>
  <si>
    <t>Bitácora de Simulación de ISR</t>
  </si>
  <si>
    <t xml:space="preserve"> 002  Maqueda Pineda Katia Alejandra</t>
  </si>
  <si>
    <t>S.D.: 250.00</t>
  </si>
  <si>
    <t>S.D.I.: 265.55</t>
  </si>
  <si>
    <t>NÚMERO</t>
  </si>
  <si>
    <t>DESCRIPCIÓN</t>
  </si>
  <si>
    <t>RESULTADO</t>
  </si>
  <si>
    <t>AYUDA</t>
  </si>
  <si>
    <t>TABLA DE ISR MENSUAL</t>
  </si>
  <si>
    <t>TABLA DE SUBSIDIO AL EMPLEO MENSUAL</t>
  </si>
  <si>
    <t>1</t>
  </si>
  <si>
    <t>DETERMINACIÓN DE BASES GRAVADAS</t>
  </si>
  <si>
    <t>Limite_inferior</t>
  </si>
  <si>
    <t>Cuota_fija</t>
  </si>
  <si>
    <t>Subs_al_empleo</t>
  </si>
  <si>
    <t>1.1</t>
  </si>
  <si>
    <t>Acumulado Base Gravada (sin el periodo vigente)</t>
  </si>
  <si>
    <t>=</t>
  </si>
  <si>
    <t>Acumulados del mes (sin considerar el periodo vigente) de "ISR Base Gravada" más "ISR Perc. Especiales grav."</t>
  </si>
  <si>
    <t>1.2</t>
  </si>
  <si>
    <t>Base gravada del periodo</t>
  </si>
  <si>
    <t>Acumulados del periodo vigente "ISR Base Gravada" más "ISR Perc. Especiales grav."</t>
  </si>
  <si>
    <t>1.3</t>
  </si>
  <si>
    <t>Días Tarifa de ISR</t>
  </si>
  <si>
    <t>Días base para ISR tomados de acuerdo a la configuración del campo "Días base que aplican para el ISR y el Subsidio", de la pestaña "Configuración del cálculo de impuesto" del menú "Tablas del ISR Vigentes"</t>
  </si>
  <si>
    <t>1.4</t>
  </si>
  <si>
    <t>Días Tarifa de Subs</t>
  </si>
  <si>
    <t>Días base para Subsidio tomados de acuerdo a la configuración del campo "Descontar las ausencias e incapacidades del total de los días base", de la pestaña "Configuración del cálculo de impuesto", del menú "Tablas del ISR Vigentes"</t>
  </si>
  <si>
    <t>1.5</t>
  </si>
  <si>
    <t>Base para cálculo de ISR</t>
  </si>
  <si>
    <t>1.2 entre 1.3 por factor de 30.4</t>
  </si>
  <si>
    <t>1.6</t>
  </si>
  <si>
    <t>Base para cálculo de Subsidio</t>
  </si>
  <si>
    <t>1.2 entre 1.4 por factor de 30.4</t>
  </si>
  <si>
    <t>2</t>
  </si>
  <si>
    <t>CÁLCULO DEL ISR DIRECTO DEL PERIODO VIGENTE</t>
  </si>
  <si>
    <t>2.1</t>
  </si>
  <si>
    <t>Límite inferior de la tabla de ISR mensual de acuerdo a 1.5</t>
  </si>
  <si>
    <t>2.2</t>
  </si>
  <si>
    <t>Base gravada menos límite inferior</t>
  </si>
  <si>
    <t>1.5 menos 2.1</t>
  </si>
  <si>
    <t>2.3</t>
  </si>
  <si>
    <t>Porcentaje de la tabla de ISR mensual de acuerdo a 1.5</t>
  </si>
  <si>
    <t>2.4</t>
  </si>
  <si>
    <t>Por porcentaje</t>
  </si>
  <si>
    <t>2.2 por 2.3</t>
  </si>
  <si>
    <t>2.5</t>
  </si>
  <si>
    <t>Cuota fija de la tabla de ISR mensual de acuerdo a 1.5</t>
  </si>
  <si>
    <t>2.6</t>
  </si>
  <si>
    <t>ISR directo elevado al mes</t>
  </si>
  <si>
    <t>2.4 más 2.5</t>
  </si>
  <si>
    <t>2.7</t>
  </si>
  <si>
    <t>ISR directo del periodo</t>
  </si>
  <si>
    <t>2.6 entre 30.4 * 1.3 (se muestra en Importe Total del concepto D041)</t>
  </si>
  <si>
    <t>3</t>
  </si>
  <si>
    <t>CÁLCULO DEL SUBSIDIO CAUSADO DEL PERIODO VIGENTE</t>
  </si>
  <si>
    <t>3.1</t>
  </si>
  <si>
    <t>Subsidio causado elevado al mes</t>
  </si>
  <si>
    <t>Subsidio causado correspondiente de la tabla mensual de subsidio de acuerdo a 1.6</t>
  </si>
  <si>
    <t>3.2</t>
  </si>
  <si>
    <t>Subsidio causado del periodo</t>
  </si>
  <si>
    <t>3.1 entre factor del 30.4  por 1.4</t>
  </si>
  <si>
    <t>4</t>
  </si>
  <si>
    <t>TOPE MÁXIMO DE SUBSIDIO CAUSADO EN EL PERIODO</t>
  </si>
  <si>
    <t>4.1</t>
  </si>
  <si>
    <t>Base gravada del mes</t>
  </si>
  <si>
    <t>1.1 más 1.2</t>
  </si>
  <si>
    <t>4.2</t>
  </si>
  <si>
    <t>Subsidio causado de acuerdo a la base gravada del mes</t>
  </si>
  <si>
    <t>Si es fin de mes, toma el subsidio causado correspondiente de la tabla mensual de subsidio de acuerdo a 4.1, de lo contrario, será cero</t>
  </si>
  <si>
    <t>4.3</t>
  </si>
  <si>
    <t>Acumulado de subsidio causado (sin el periodo vigente)</t>
  </si>
  <si>
    <t>Subsidio causado en el mes sin incluir el periodo vigente</t>
  </si>
  <si>
    <t>4.4</t>
  </si>
  <si>
    <t>Máximo subsidio causado que puede corresponder en el periodo</t>
  </si>
  <si>
    <t>Toma el máximo de 4.2 menos 4.3 ó cero</t>
  </si>
  <si>
    <t>5</t>
  </si>
  <si>
    <t>CÁLCULO DEL  SUBSIDIO CAUSADO DEL PERIODO VIGENTE DEFINITIVO</t>
  </si>
  <si>
    <t>5.1</t>
  </si>
  <si>
    <t>Subsidio causado del periodo  definitivo  (topado  a la tarifa mensual)</t>
  </si>
  <si>
    <t>Si no es fin de mes toma 3.2, si es fin de mes toma el menor entre el 3.2 y 4.4 (se muestra en Importe 1 del concepto D032)</t>
  </si>
  <si>
    <t>6</t>
  </si>
  <si>
    <t>CÁLCULO DE IMPUESTOS  A RETENER O SUBSIDIO A ENTREGAR DEL PERIODO</t>
  </si>
  <si>
    <t>6.1</t>
  </si>
  <si>
    <t>ISR a retener del periodo</t>
  </si>
  <si>
    <t>2.7 menos 5.1 (se muestra en Importe Total del concepto D045), no efectuará la retención a empleados que únicamente perciban un salario mínimo correspondiente a su área geográfica, Artículo 96 LISR.</t>
  </si>
  <si>
    <t>6.2</t>
  </si>
  <si>
    <t>Subsidio a entregar del periodo</t>
  </si>
  <si>
    <t>Toma el máximo entre 5.1 menos 2.7 ó cero</t>
  </si>
  <si>
    <t>7</t>
  </si>
  <si>
    <t>CÁLCULO DEL IMPUESTO MENSUAL (OBJETIVO A LLEGAR) CUANDO ES FIN DE MES</t>
  </si>
  <si>
    <t>7.1</t>
  </si>
  <si>
    <t>7.2</t>
  </si>
  <si>
    <t>Límite inferior de la tabla de ISR mensual de acuerdo a 7.1</t>
  </si>
  <si>
    <t>7.3</t>
  </si>
  <si>
    <t>7.1 menos 7.2</t>
  </si>
  <si>
    <t>7.4</t>
  </si>
  <si>
    <t>Porcentaje de la tabla de ISR mensual de acuerdo a 7.1</t>
  </si>
  <si>
    <t>7.5</t>
  </si>
  <si>
    <t>7.3 por 7.4</t>
  </si>
  <si>
    <t>7.6</t>
  </si>
  <si>
    <t>Cuota fja</t>
  </si>
  <si>
    <t>Cuota fija de la tabla de ISR mensual de acuerdo a 7.1</t>
  </si>
  <si>
    <t>7.7</t>
  </si>
  <si>
    <t>ISR directo mes</t>
  </si>
  <si>
    <t>Si es fin de mes, 7.5 más 7.6, de lo contrario es cero</t>
  </si>
  <si>
    <t>7.8</t>
  </si>
  <si>
    <t>Subsidio causado mes</t>
  </si>
  <si>
    <t>Si es fin de mes, toma subsidio causado correspondiente de la tabla mensual de subsidio de acuerdo a 7.1, de lo contrario es cero</t>
  </si>
  <si>
    <t>7.9</t>
  </si>
  <si>
    <t>ISR a retener mes</t>
  </si>
  <si>
    <t>Si es fin de mes, 7.7 menos 7.8, de lo contrario es cero</t>
  </si>
  <si>
    <t>7.10</t>
  </si>
  <si>
    <t>Subsidio a entregar mes</t>
  </si>
  <si>
    <t>Si es fin de mes, toma el máximo entre 7.8 menos 7.7 ó cero, de lo contrario es cero</t>
  </si>
  <si>
    <t>8</t>
  </si>
  <si>
    <t>SUBSIDIO A ENTREGAR DEL PERIODO DEFINITIVO</t>
  </si>
  <si>
    <t>8.1</t>
  </si>
  <si>
    <t>Acumulado Sub entregado</t>
  </si>
  <si>
    <t>Acumulado Subsidio entregado del mes, sin considerar el periodo vigente</t>
  </si>
  <si>
    <t>8.2</t>
  </si>
  <si>
    <t>Máximo subsidio a entregar en el periodo</t>
  </si>
  <si>
    <t>Toma el máximo de 7.10 menos 8.1 ó cero</t>
  </si>
  <si>
    <t>8.3</t>
  </si>
  <si>
    <t>Subsidio a entregar del periodo definitivo</t>
  </si>
  <si>
    <t>Si no es fin de mes toma 6.2, si es fin de mes va a ser igual al menor de 6.2 o 8.2 (se muestra en Importe 1 del concepto D035)</t>
  </si>
  <si>
    <t>9</t>
  </si>
  <si>
    <t>ACUMULADOS DE LO QUE SE LLEVA EN EL MES (incluyendo el periodo vigente)</t>
  </si>
  <si>
    <t>9.1</t>
  </si>
  <si>
    <t>Subsidio causado</t>
  </si>
  <si>
    <t>Acumulado del mes (incluyendo periodo vigente) del Subsidio Causado</t>
  </si>
  <si>
    <t>9.2</t>
  </si>
  <si>
    <t>ISR retenido</t>
  </si>
  <si>
    <t>Acumulado del mes (incluyendo periodo vigente) del ISR retenido</t>
  </si>
  <si>
    <t>9.3</t>
  </si>
  <si>
    <t>Subsidio entregado</t>
  </si>
  <si>
    <t>Acumulado del mes (incluyendo periodo vigente) del Subsidio Entregado</t>
  </si>
  <si>
    <t>10</t>
  </si>
  <si>
    <t>CÁLCULO DE AJUSTES CUANDO ES FIN DE MES</t>
  </si>
  <si>
    <t>10.1</t>
  </si>
  <si>
    <t>Subsidio causado mayor al que le correspondía</t>
  </si>
  <si>
    <t>9.1 menos 7.8 (se muestra en Importe Total del concepto D107)</t>
  </si>
  <si>
    <t>10.2</t>
  </si>
  <si>
    <t>Subsidio causado menor al que le correspondía</t>
  </si>
  <si>
    <t>Si 11.1 igual a "NO", será cero, igual a "SI" será 7.8 menos 9.1 (se muestra en el Importe 2 del concepto D032)</t>
  </si>
  <si>
    <t>10.3</t>
  </si>
  <si>
    <t>ISR ajuste mensual</t>
  </si>
  <si>
    <t>10.1 menos 10.5 (se muestra en el Importe Total del concepto D104)</t>
  </si>
  <si>
    <t>10.4</t>
  </si>
  <si>
    <t>ISR ajustado por subsidio</t>
  </si>
  <si>
    <t>Igual a 10.3 (se muestra en el Importe Total del concepto D105)</t>
  </si>
  <si>
    <t>10.5</t>
  </si>
  <si>
    <t>Ajuste en subsidio para el empleo</t>
  </si>
  <si>
    <t>9.3 menos 7.10 (se muestra en el importe Total del concepto D071)</t>
  </si>
  <si>
    <t>10.6</t>
  </si>
  <si>
    <t>Subsidio entregado que no correspondía</t>
  </si>
  <si>
    <t>Si 11.5 es igual a "NO", toma el menor entre 10.1 y 10.5, igual a "SI" toma el valor de 10.5 (se muestra en el importe Total del concepto D075)</t>
  </si>
  <si>
    <t>10.7</t>
  </si>
  <si>
    <t>Subsidio entregado menor al que le correspondía</t>
  </si>
  <si>
    <t>Si 11.2 es igual a "NO", es cero, igual a "SI", es 7.10 menos 9.3 (se muestra en el Importe 2 del concepto D035)</t>
  </si>
  <si>
    <t>10.9</t>
  </si>
  <si>
    <t>Ajuste por ISR retenido menor al que le correspondia</t>
  </si>
  <si>
    <t>Si 11.4 es igual a "NO", es cero, igual a "SI", es 7.9 menos 9.2 menos 10.3 (se muestra en el Importe 2 del concepto D045), no efectuará la retención a empleados que únicamente perciban un salario mínimo al mes correspondiente a su área geográfica, Artículo 96 LISR.</t>
  </si>
  <si>
    <t>11</t>
  </si>
  <si>
    <t>CONFIGURACIÓN DE PARÁMETROS DE AJUSTES</t>
  </si>
  <si>
    <t>11.1</t>
  </si>
  <si>
    <t>Ajustar subsidio causado menor al que le correspondía</t>
  </si>
  <si>
    <t>NO</t>
  </si>
  <si>
    <t>Si el subsidio causado es menor al correspondiente en el mes  toma en cuenta este parámetro para aplicarlo o no</t>
  </si>
  <si>
    <t>11.2</t>
  </si>
  <si>
    <t>Ajustar subsidio entregado menor al que le correspondía</t>
  </si>
  <si>
    <t>Si el subsidio entregado es menor al correspondiente en el mes  toma en cuenta este parámetro para aplicarlo o no</t>
  </si>
  <si>
    <t>11.3</t>
  </si>
  <si>
    <t>Ajustar ISR retenido en exceso</t>
  </si>
  <si>
    <t>Si el ISR es retenido en exceso al correspondiente en el mes  toma en cuenta este parámetro para aplicarlo o no</t>
  </si>
  <si>
    <t>11.4</t>
  </si>
  <si>
    <t>ISR menor al que le correspondía ¿Retener ISR faltante?</t>
  </si>
  <si>
    <t>SI</t>
  </si>
  <si>
    <t>Si el ISR  retenido es menor al correspondiente en el mes  toma en cuenta este parámetro para retener la diferencia o no</t>
  </si>
  <si>
    <t>11.5</t>
  </si>
  <si>
    <t>¿Registrar el mismo importe del concepto D071 en el concepto D075?</t>
  </si>
  <si>
    <t>Si el ajuste al subsidio causado es menor al ajuste al subsidio entregado, toma en cuenta este parámetro para topar el concepto "OP-008, Subsidio que no Correspondía" al importe de concepto "D-107 Ajuste al Subsidio Causado" o permitir excederlo</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</si>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</sst>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Red]\-&quot;$&quot;#,##0"/>
    <numFmt numFmtId="8" formatCode="&quot;$&quot;#,##0.00;[Red]\-&quot;$&quot;#,##0.00"/>
    <numFmt numFmtId="44" formatCode="_-&quot;$&quot;* #,##0.00_-;\-&quot;$&quot;* #,##0.00_-;_-&quot;$&quot;* &quot;-&quot;??_-;_-@_-"/>
    <numFmt numFmtId="43" formatCode="_-* #,##0.00_-;\-* #,##0.00_-;_-* &quot;-&quot;??_-;_-@_-"/>
    <numFmt numFmtId="164" formatCode="0_ ;\-0\ "/>
    <numFmt numFmtId="165" formatCode="_-* #,##0.00_-;\-* #,##0.00_-;_-* \-??_-;_-@_-"/>
    <numFmt numFmtId="166" formatCode="_-[$$-80A]* #,##0.00_-;\-[$$-80A]* #,##0.00_-;_-[$$-80A]* &quot;-&quot;??_-;_-@_-"/>
    <numFmt numFmtId="175" formatCode="0.00000"/>
  </numFmts>
  <fonts count="56">
    <font>
      <sz val="11"/>
      <color theme="1"/>
      <name val="Calibri"/>
      <family val="2"/>
      <scheme val="minor"/>
    </font>
    <font>
      <sz val="11"/>
      <color theme="1"/>
      <name val="Calibri"/>
      <family val="2"/>
      <scheme val="minor"/>
    </font>
    <font>
      <b/>
      <sz val="11"/>
      <color theme="1"/>
      <name val="Calibri"/>
      <family val="2"/>
      <scheme val="minor"/>
    </font>
    <font>
      <b/>
      <sz val="18"/>
      <color rgb="FF333333"/>
      <name val="Calibri"/>
      <family val="2"/>
      <scheme val="minor"/>
    </font>
    <font>
      <b/>
      <sz val="13.5"/>
      <color rgb="FF333333"/>
      <name val="Arial"/>
      <family val="2"/>
    </font>
    <font>
      <b/>
      <sz val="14"/>
      <color rgb="FF333333"/>
      <name val="Arial"/>
      <family val="2"/>
    </font>
    <font>
      <sz val="12"/>
      <color theme="1"/>
      <name val="Calibri"/>
      <family val="2"/>
      <scheme val="minor"/>
    </font>
    <font>
      <sz val="11"/>
      <color theme="1"/>
      <name val="Roboto"/>
    </font>
    <font>
      <b/>
      <sz val="16"/>
      <color rgb="FF333333"/>
      <name val="Arial"/>
      <family val="2"/>
    </font>
    <font>
      <sz val="16"/>
      <color theme="1"/>
      <name val="Calibri"/>
      <family val="2"/>
      <scheme val="minor"/>
    </font>
    <font>
      <b/>
      <sz val="12"/>
      <color rgb="FFFF0000"/>
      <name val="Calibri"/>
      <family val="2"/>
      <scheme val="minor"/>
    </font>
    <font>
      <b/>
      <sz val="14"/>
      <color theme="2" tint="-0.89999084444715716"/>
      <name val="Arial"/>
      <family val="2"/>
    </font>
    <font>
      <u/>
      <sz val="11"/>
      <color theme="10"/>
      <name val="Calibri"/>
      <family val="2"/>
      <scheme val="minor"/>
    </font>
    <font>
      <b/>
      <sz val="12"/>
      <color theme="4" tint="-0.499984740745262"/>
      <name val="Arial"/>
      <family val="2"/>
    </font>
    <font>
      <b/>
      <sz val="14"/>
      <color theme="4" tint="-0.499984740745262"/>
      <name val="Arial"/>
      <family val="2"/>
    </font>
    <font>
      <b/>
      <sz val="14"/>
      <color theme="4" tint="-0.499984740745262"/>
      <name val="Calibri"/>
      <family val="2"/>
      <scheme val="minor"/>
    </font>
    <font>
      <b/>
      <sz val="8"/>
      <name val="Arial"/>
      <family val="2"/>
    </font>
    <font>
      <b/>
      <sz val="9"/>
      <name val="Arial"/>
      <family val="2"/>
    </font>
    <font>
      <b/>
      <sz val="10"/>
      <color theme="0"/>
      <name val="Arial"/>
      <family val="2"/>
    </font>
    <font>
      <b/>
      <sz val="10"/>
      <name val="Arial"/>
      <family val="2"/>
    </font>
    <font>
      <sz val="11"/>
      <name val="Arial"/>
      <family val="2"/>
    </font>
    <font>
      <sz val="14"/>
      <color theme="1"/>
      <name val="Calibri"/>
      <family val="2"/>
      <scheme val="minor"/>
    </font>
    <font>
      <b/>
      <sz val="14"/>
      <name val="Arial"/>
      <family val="2"/>
    </font>
    <font>
      <b/>
      <i/>
      <sz val="11"/>
      <color rgb="FFFF0000"/>
      <name val="Calibri"/>
      <family val="2"/>
      <scheme val="minor"/>
    </font>
    <font>
      <b/>
      <sz val="12"/>
      <name val="Arial"/>
      <family val="2"/>
    </font>
    <font>
      <b/>
      <sz val="10"/>
      <color theme="1"/>
      <name val="Calibri"/>
      <family val="2"/>
      <scheme val="minor"/>
    </font>
    <font>
      <b/>
      <sz val="18"/>
      <name val="Arial"/>
      <family val="2"/>
    </font>
    <font>
      <sz val="10"/>
      <color theme="1"/>
      <name val="Calibri"/>
      <family val="2"/>
      <scheme val="minor"/>
    </font>
    <font>
      <sz val="10"/>
      <name val="Arial"/>
      <family val="2"/>
    </font>
    <font>
      <b/>
      <u val="singleAccounting"/>
      <sz val="10"/>
      <name val="Arial"/>
      <family val="2"/>
    </font>
    <font>
      <b/>
      <sz val="10"/>
      <color rgb="FFFF0000"/>
      <name val="Arial"/>
      <family val="2"/>
    </font>
    <font>
      <sz val="11"/>
      <color rgb="FFFF0000"/>
      <name val="Calibri"/>
      <family val="2"/>
      <scheme val="minor"/>
    </font>
    <font>
      <sz val="11"/>
      <color theme="0"/>
      <name val="Calibri"/>
      <family val="2"/>
      <scheme val="minor"/>
    </font>
    <font>
      <b/>
      <sz val="14"/>
      <color theme="0"/>
      <name val="Calibri"/>
      <family val="2"/>
      <scheme val="minor"/>
    </font>
    <font>
      <b/>
      <u/>
      <sz val="14"/>
      <color theme="1"/>
      <name val="Calibri"/>
      <family val="2"/>
      <scheme val="minor"/>
    </font>
    <font>
      <b/>
      <sz val="14"/>
      <color theme="1"/>
      <name val="Calibri"/>
      <family val="2"/>
      <scheme val="minor"/>
    </font>
    <font>
      <b/>
      <sz val="14"/>
      <color rgb="FFFF0000"/>
      <name val="Calibri"/>
      <family val="2"/>
      <scheme val="minor"/>
    </font>
    <font>
      <b/>
      <i/>
      <sz val="11"/>
      <color theme="1"/>
      <name val="Calibri"/>
      <family val="2"/>
      <scheme val="minor"/>
    </font>
    <font>
      <b/>
      <sz val="12"/>
      <color theme="1"/>
      <name val="Calibri"/>
      <family val="2"/>
      <scheme val="minor"/>
    </font>
    <font>
      <b/>
      <u/>
      <sz val="22"/>
      <color theme="1"/>
      <name val="Calibri"/>
      <family val="2"/>
      <scheme val="minor"/>
    </font>
    <font>
      <b/>
      <u/>
      <sz val="12"/>
      <color theme="1"/>
      <name val="Calibri"/>
      <family val="2"/>
      <scheme val="minor"/>
    </font>
    <font>
      <sz val="11"/>
      <name val="Calibri"/>
      <family val="2"/>
      <scheme val="minor"/>
    </font>
    <font>
      <sz val="8"/>
      <color theme="1"/>
      <name val="Calibri"/>
      <family val="2"/>
      <scheme val="minor"/>
    </font>
    <font>
      <b/>
      <sz val="18"/>
      <name val="Calibri"/>
      <family val="2"/>
      <scheme val="minor"/>
    </font>
    <font>
      <b/>
      <sz val="18"/>
      <color rgb="FFFF0000"/>
      <name val="Calibri"/>
      <family val="2"/>
      <scheme val="minor"/>
    </font>
    <font>
      <b/>
      <sz val="14"/>
      <name val="Calibri"/>
      <family val="2"/>
      <scheme val="minor"/>
    </font>
    <font>
      <b/>
      <u val="singleAccounting"/>
      <sz val="14"/>
      <color rgb="FFFF0000"/>
      <name val="Calibri"/>
      <family val="2"/>
      <scheme val="minor"/>
    </font>
    <font>
      <b/>
      <u/>
      <sz val="14"/>
      <color rgb="FFFF0000"/>
      <name val="Calibri"/>
      <family val="2"/>
      <scheme val="minor"/>
    </font>
    <font>
      <b/>
      <i/>
      <sz val="12"/>
      <color rgb="FF352C60"/>
      <name val="Proxima_nova_medium"/>
    </font>
    <font>
      <b/>
      <sz val="11"/>
      <color rgb="FF000000"/>
      <name val="Calibri"/>
      <family val="2"/>
      <charset val="1"/>
    </font>
    <font>
      <sz val="12"/>
      <color theme="1"/>
      <name val="Franklin Gothic Book"/>
      <family val="2"/>
    </font>
    <font>
      <b/>
      <sz val="11"/>
      <name val="Calibri"/>
      <family val="2"/>
      <charset val="1"/>
    </font>
    <font>
      <b/>
      <sz val="11"/>
      <color rgb="FFFF0000"/>
      <name val="Calibri"/>
      <family val="2"/>
      <scheme val="minor"/>
    </font>
    <font>
      <sz val="16"/>
      <color theme="1"/>
      <name val="Algerian"/>
      <family val="5"/>
    </font>
    <font>
      <sz val="14"/>
      <color theme="1"/>
      <name val="Algerian"/>
      <family val="5"/>
    </font>
    <font>
      <b/>
      <sz val="11"/>
      <color indexed="12"/>
      <name val="Calibri"/>
      <family val="2"/>
      <scheme val="minor"/>
    </font>
  </fonts>
  <fills count="18">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5"/>
        <bgColor indexed="64"/>
      </patternFill>
    </fill>
    <fill>
      <patternFill patternType="solid">
        <fgColor indexed="2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indexed="43"/>
        <bgColor indexed="64"/>
      </patternFill>
    </fill>
    <fill>
      <patternFill patternType="solid">
        <fgColor theme="0"/>
        <bgColor indexed="64"/>
      </patternFill>
    </fill>
    <fill>
      <patternFill patternType="solid">
        <fgColor theme="4" tint="0.79998168889431442"/>
        <bgColor indexed="64"/>
      </patternFill>
    </fill>
    <fill>
      <patternFill patternType="solid">
        <fgColor theme="3"/>
        <bgColor indexed="64"/>
      </patternFill>
    </fill>
    <fill>
      <patternFill patternType="solid">
        <fgColor theme="7"/>
        <bgColor indexed="64"/>
      </patternFill>
    </fill>
    <fill>
      <patternFill patternType="solid">
        <fgColor rgb="FFBDD7EE"/>
        <bgColor rgb="FF99CCFF"/>
      </patternFill>
    </fill>
    <fill>
      <patternFill patternType="solid">
        <fgColor theme="4" tint="0.79998168889431442"/>
        <bgColor rgb="FFFFFF00"/>
      </patternFill>
    </fill>
    <fill>
      <patternFill patternType="solid">
        <fgColor theme="4" tint="0.79998168889431442"/>
        <bgColor rgb="FF99CCFF"/>
      </patternFill>
    </fill>
    <fill>
      <patternFill patternType="solid">
        <fgColor theme="5" tint="0.79998168889431442"/>
        <bgColor indexed="64"/>
      </patternFill>
    </fill>
    <fill>
      <patternFill patternType="solid">
        <fgColor theme="5" tint="0.39997558519241921"/>
        <bgColor indexed="64"/>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style="hair">
        <color indexed="64"/>
      </left>
      <right style="hair">
        <color indexed="64"/>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s>
  <cellStyleXfs count="5">
    <xf numFmtId="0" fontId="0" fillId="0" borderId="0"/>
    <xf numFmtId="43" fontId="1" fillId="0" borderId="0" applyFont="0" applyFill="0" applyBorder="0" applyAlignment="0" applyProtection="0"/>
    <xf numFmtId="0" fontId="12"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320">
    <xf numFmtId="0" fontId="0" fillId="0" borderId="0" xfId="0"/>
    <xf numFmtId="0" fontId="3" fillId="0" borderId="0" xfId="0" applyFont="1" applyAlignment="1">
      <alignment horizontal="center" vertical="center" wrapText="1"/>
    </xf>
    <xf numFmtId="0" fontId="4" fillId="0" borderId="0" xfId="0" applyFont="1"/>
    <xf numFmtId="0" fontId="2" fillId="0" borderId="0" xfId="0" applyFont="1" applyAlignment="1">
      <alignment horizontal="center" vertical="center" wrapText="1"/>
    </xf>
    <xf numFmtId="0" fontId="2" fillId="0" borderId="2" xfId="0" applyFont="1" applyBorder="1" applyAlignment="1">
      <alignment horizontal="center" vertical="center" wrapText="1"/>
    </xf>
    <xf numFmtId="0" fontId="0" fillId="0" borderId="0" xfId="0" applyAlignment="1">
      <alignment horizontal="right" vertical="center"/>
    </xf>
    <xf numFmtId="4" fontId="0" fillId="0" borderId="0" xfId="0" applyNumberFormat="1" applyAlignment="1">
      <alignment horizontal="right" vertical="center"/>
    </xf>
    <xf numFmtId="0" fontId="6" fillId="0" borderId="0" xfId="0" applyFont="1" applyAlignment="1">
      <alignment horizontal="right" vertical="center"/>
    </xf>
    <xf numFmtId="4" fontId="6" fillId="0" borderId="0" xfId="0" applyNumberFormat="1" applyFont="1" applyAlignment="1">
      <alignment horizontal="right" vertical="center"/>
    </xf>
    <xf numFmtId="2" fontId="6" fillId="0" borderId="0" xfId="0" applyNumberFormat="1" applyFont="1" applyAlignment="1">
      <alignment horizontal="right" vertical="center"/>
    </xf>
    <xf numFmtId="10" fontId="6" fillId="0" borderId="0" xfId="0" applyNumberFormat="1" applyFont="1" applyAlignment="1">
      <alignment horizontal="center" vertical="center"/>
    </xf>
    <xf numFmtId="0" fontId="3" fillId="0" borderId="0" xfId="0" applyFont="1" applyAlignment="1">
      <alignment vertical="center" wrapText="1"/>
    </xf>
    <xf numFmtId="0" fontId="0" fillId="0" borderId="0" xfId="0" applyAlignment="1">
      <alignment horizontal="center"/>
    </xf>
    <xf numFmtId="0" fontId="7" fillId="0" borderId="0" xfId="0" applyFont="1" applyAlignment="1">
      <alignment horizontal="left" vertical="center"/>
    </xf>
    <xf numFmtId="0" fontId="9" fillId="0" borderId="0" xfId="0" applyFont="1"/>
    <xf numFmtId="0" fontId="2" fillId="0" borderId="1" xfId="0" applyFont="1" applyBorder="1" applyAlignment="1">
      <alignment horizontal="center" vertical="center" wrapText="1"/>
    </xf>
    <xf numFmtId="0" fontId="6" fillId="0" borderId="0" xfId="0" applyFont="1"/>
    <xf numFmtId="4" fontId="6" fillId="0" borderId="0" xfId="0"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right" vertical="center"/>
    </xf>
    <xf numFmtId="0" fontId="6" fillId="0" borderId="0" xfId="0" applyFont="1" applyAlignment="1">
      <alignment horizontal="center" vertical="center"/>
    </xf>
    <xf numFmtId="2" fontId="6" fillId="0" borderId="0" xfId="0" applyNumberFormat="1" applyFont="1" applyAlignment="1">
      <alignment horizontal="center" vertical="center"/>
    </xf>
    <xf numFmtId="0" fontId="0" fillId="0" borderId="0" xfId="0" applyAlignment="1">
      <alignment horizontal="center" wrapText="1"/>
    </xf>
    <xf numFmtId="4" fontId="6" fillId="2" borderId="0" xfId="0" applyNumberFormat="1" applyFont="1" applyFill="1" applyAlignment="1">
      <alignment horizontal="right" vertical="center"/>
    </xf>
    <xf numFmtId="10" fontId="6" fillId="2" borderId="0" xfId="0" applyNumberFormat="1" applyFont="1" applyFill="1" applyAlignment="1">
      <alignment horizontal="center" vertical="center"/>
    </xf>
    <xf numFmtId="2" fontId="6" fillId="2" borderId="0" xfId="0" applyNumberFormat="1" applyFont="1" applyFill="1" applyAlignment="1">
      <alignment horizontal="right" vertical="center"/>
    </xf>
    <xf numFmtId="0" fontId="10" fillId="0" borderId="0" xfId="0" applyFont="1"/>
    <xf numFmtId="43" fontId="6" fillId="0" borderId="0" xfId="1" applyFont="1" applyAlignment="1">
      <alignment horizontal="right" vertical="center"/>
    </xf>
    <xf numFmtId="0" fontId="6" fillId="2" borderId="0" xfId="0" applyFont="1" applyFill="1" applyAlignment="1">
      <alignment horizontal="right" vertical="center"/>
    </xf>
    <xf numFmtId="43" fontId="6" fillId="2" borderId="0" xfId="1" applyFont="1" applyFill="1" applyAlignment="1">
      <alignment horizontal="right" vertical="center"/>
    </xf>
    <xf numFmtId="0" fontId="2" fillId="0" borderId="2" xfId="0" applyFont="1" applyBorder="1" applyAlignment="1">
      <alignment horizontal="left" vertical="center" wrapText="1"/>
    </xf>
    <xf numFmtId="43" fontId="0" fillId="0" borderId="0" xfId="1" applyFont="1" applyAlignment="1">
      <alignment horizontal="right" vertical="center"/>
    </xf>
    <xf numFmtId="0" fontId="11" fillId="0" borderId="0" xfId="0" applyFont="1" applyAlignment="1">
      <alignment horizontal="center"/>
    </xf>
    <xf numFmtId="0" fontId="13" fillId="0" borderId="0" xfId="0" applyFont="1"/>
    <xf numFmtId="0" fontId="15" fillId="0" borderId="0" xfId="2" applyFont="1"/>
    <xf numFmtId="0" fontId="14" fillId="0" borderId="0" xfId="0" applyFont="1"/>
    <xf numFmtId="0" fontId="12" fillId="0" borderId="0" xfId="2"/>
    <xf numFmtId="0" fontId="16" fillId="0" borderId="0" xfId="0" applyFont="1" applyAlignment="1">
      <alignment horizontal="right"/>
    </xf>
    <xf numFmtId="14" fontId="16" fillId="0" borderId="0" xfId="0" applyNumberFormat="1" applyFont="1" applyAlignment="1">
      <alignment horizontal="right"/>
    </xf>
    <xf numFmtId="14" fontId="16" fillId="0" borderId="0" xfId="0" applyNumberFormat="1" applyFont="1" applyAlignment="1"/>
    <xf numFmtId="3" fontId="17" fillId="5" borderId="0" xfId="0" applyNumberFormat="1" applyFont="1" applyFill="1" applyAlignment="1">
      <alignment horizontal="center" vertical="top" wrapText="1"/>
    </xf>
    <xf numFmtId="0" fontId="19" fillId="0" borderId="0" xfId="0" applyFont="1" applyAlignment="1">
      <alignment horizontal="center"/>
    </xf>
    <xf numFmtId="0" fontId="20" fillId="0" borderId="3" xfId="0" applyFont="1" applyBorder="1"/>
    <xf numFmtId="4" fontId="0" fillId="0" borderId="0" xfId="0" applyNumberFormat="1"/>
    <xf numFmtId="0" fontId="19" fillId="0" borderId="0" xfId="0" applyFont="1"/>
    <xf numFmtId="4" fontId="20" fillId="0" borderId="0" xfId="0" applyNumberFormat="1" applyFont="1"/>
    <xf numFmtId="0" fontId="0" fillId="6" borderId="0" xfId="0" applyFill="1"/>
    <xf numFmtId="4" fontId="0" fillId="6" borderId="0" xfId="0" applyNumberFormat="1" applyFill="1"/>
    <xf numFmtId="0" fontId="19" fillId="0" borderId="4" xfId="0" applyFont="1" applyBorder="1"/>
    <xf numFmtId="4" fontId="19" fillId="0" borderId="4" xfId="0" applyNumberFormat="1" applyFont="1" applyBorder="1"/>
    <xf numFmtId="4" fontId="21" fillId="0" borderId="0" xfId="0" applyNumberFormat="1" applyFont="1"/>
    <xf numFmtId="44" fontId="0" fillId="6" borderId="0" xfId="0" applyNumberFormat="1" applyFill="1"/>
    <xf numFmtId="4" fontId="22" fillId="0" borderId="4" xfId="0" applyNumberFormat="1" applyFont="1" applyBorder="1"/>
    <xf numFmtId="4" fontId="19" fillId="0" borderId="0" xfId="0" applyNumberFormat="1" applyFont="1"/>
    <xf numFmtId="0" fontId="0" fillId="7" borderId="0" xfId="0" applyFill="1"/>
    <xf numFmtId="4" fontId="23" fillId="0" borderId="0" xfId="0" applyNumberFormat="1" applyFont="1"/>
    <xf numFmtId="0" fontId="24" fillId="8" borderId="0" xfId="0" applyFont="1" applyFill="1"/>
    <xf numFmtId="4" fontId="19" fillId="8" borderId="0" xfId="0" applyNumberFormat="1" applyFont="1" applyFill="1"/>
    <xf numFmtId="0" fontId="19" fillId="8" borderId="5" xfId="0" applyFont="1" applyFill="1" applyBorder="1"/>
    <xf numFmtId="3" fontId="19" fillId="8" borderId="5" xfId="0" applyNumberFormat="1" applyFont="1" applyFill="1" applyBorder="1"/>
    <xf numFmtId="44" fontId="0" fillId="0" borderId="0" xfId="3" applyFont="1"/>
    <xf numFmtId="0" fontId="19" fillId="9" borderId="0" xfId="0" applyFont="1" applyFill="1"/>
    <xf numFmtId="0" fontId="25" fillId="0" borderId="0" xfId="0" applyFont="1" applyAlignment="1">
      <alignment horizontal="center"/>
    </xf>
    <xf numFmtId="43" fontId="19" fillId="9" borderId="0" xfId="1" applyFont="1" applyFill="1"/>
    <xf numFmtId="44" fontId="19" fillId="9" borderId="0" xfId="3" applyFont="1" applyFill="1"/>
    <xf numFmtId="164" fontId="19" fillId="9" borderId="0" xfId="0" applyNumberFormat="1" applyFont="1" applyFill="1" applyAlignment="1">
      <alignment horizontal="center"/>
    </xf>
    <xf numFmtId="0" fontId="27" fillId="9" borderId="0" xfId="0" applyFont="1" applyFill="1"/>
    <xf numFmtId="0" fontId="27" fillId="0" borderId="0" xfId="0" applyFont="1"/>
    <xf numFmtId="0" fontId="19" fillId="9" borderId="0" xfId="0" applyFont="1" applyFill="1" applyAlignment="1">
      <alignment horizontal="center"/>
    </xf>
    <xf numFmtId="10" fontId="19" fillId="9" borderId="0" xfId="4" applyNumberFormat="1" applyFont="1" applyFill="1" applyBorder="1" applyAlignment="1">
      <alignment horizontal="center"/>
    </xf>
    <xf numFmtId="43" fontId="19" fillId="9" borderId="0" xfId="1" applyFont="1" applyFill="1" applyAlignment="1">
      <alignment horizontal="center"/>
    </xf>
    <xf numFmtId="0" fontId="19" fillId="10" borderId="0" xfId="0" applyFont="1" applyFill="1" applyAlignment="1">
      <alignment horizontal="center"/>
    </xf>
    <xf numFmtId="0" fontId="27" fillId="10" borderId="0" xfId="0" applyFont="1" applyFill="1"/>
    <xf numFmtId="43" fontId="19" fillId="10" borderId="0" xfId="1" applyFont="1" applyFill="1" applyAlignment="1">
      <alignment horizontal="center"/>
    </xf>
    <xf numFmtId="43" fontId="28" fillId="10" borderId="0" xfId="1" applyFont="1" applyFill="1"/>
    <xf numFmtId="44" fontId="19" fillId="10" borderId="0" xfId="3" applyFont="1" applyFill="1" applyAlignment="1">
      <alignment horizontal="center"/>
    </xf>
    <xf numFmtId="44" fontId="28" fillId="10" borderId="0" xfId="3" applyFont="1" applyFill="1" applyAlignment="1">
      <alignment horizontal="center"/>
    </xf>
    <xf numFmtId="0" fontId="27" fillId="9" borderId="0" xfId="0" applyFont="1" applyFill="1" applyAlignment="1">
      <alignment horizontal="right"/>
    </xf>
    <xf numFmtId="0" fontId="28" fillId="10" borderId="0" xfId="0" applyFont="1" applyFill="1"/>
    <xf numFmtId="43" fontId="28" fillId="10" borderId="0" xfId="1" applyFont="1" applyFill="1" applyAlignment="1">
      <alignment horizontal="center"/>
    </xf>
    <xf numFmtId="44" fontId="19" fillId="10" borderId="0" xfId="3" applyFont="1" applyFill="1"/>
    <xf numFmtId="44" fontId="27" fillId="9" borderId="0" xfId="0" applyNumberFormat="1" applyFont="1" applyFill="1"/>
    <xf numFmtId="44" fontId="28" fillId="10" borderId="0" xfId="3" applyFont="1" applyFill="1"/>
    <xf numFmtId="43" fontId="28" fillId="9" borderId="0" xfId="1" applyFont="1" applyFill="1"/>
    <xf numFmtId="44" fontId="29" fillId="9" borderId="0" xfId="3" applyFont="1" applyFill="1"/>
    <xf numFmtId="44" fontId="28" fillId="9" borderId="0" xfId="3" applyFont="1" applyFill="1"/>
    <xf numFmtId="44" fontId="28" fillId="9" borderId="0" xfId="0" applyNumberFormat="1" applyFont="1" applyFill="1"/>
    <xf numFmtId="44" fontId="28" fillId="10" borderId="1" xfId="3" applyFont="1" applyFill="1" applyBorder="1"/>
    <xf numFmtId="0" fontId="25" fillId="9" borderId="0" xfId="0" applyFont="1" applyFill="1"/>
    <xf numFmtId="0" fontId="19" fillId="9" borderId="0" xfId="0" applyFont="1" applyFill="1" applyAlignment="1">
      <alignment horizontal="left"/>
    </xf>
    <xf numFmtId="43" fontId="28" fillId="9" borderId="0" xfId="3" applyNumberFormat="1" applyFont="1" applyFill="1"/>
    <xf numFmtId="44" fontId="28" fillId="9" borderId="1" xfId="3" applyFont="1" applyFill="1" applyBorder="1"/>
    <xf numFmtId="44" fontId="27" fillId="9" borderId="0" xfId="3" applyFont="1" applyFill="1"/>
    <xf numFmtId="0" fontId="28" fillId="9" borderId="0" xfId="0" applyFont="1" applyFill="1"/>
    <xf numFmtId="43" fontId="27" fillId="9" borderId="0" xfId="0" applyNumberFormat="1" applyFont="1" applyFill="1"/>
    <xf numFmtId="10" fontId="28" fillId="9" borderId="1" xfId="4" applyNumberFormat="1" applyFont="1" applyFill="1" applyBorder="1"/>
    <xf numFmtId="2" fontId="27" fillId="9" borderId="0" xfId="0" applyNumberFormat="1" applyFont="1" applyFill="1"/>
    <xf numFmtId="44" fontId="30" fillId="10" borderId="0" xfId="3" applyFont="1" applyFill="1"/>
    <xf numFmtId="43" fontId="28" fillId="9" borderId="0" xfId="1" applyFont="1" applyFill="1" applyAlignment="1">
      <alignment horizontal="center"/>
    </xf>
    <xf numFmtId="0" fontId="19" fillId="10" borderId="0" xfId="0" applyFont="1" applyFill="1"/>
    <xf numFmtId="0" fontId="25" fillId="10" borderId="0" xfId="0" applyFont="1" applyFill="1"/>
    <xf numFmtId="0" fontId="27" fillId="0" borderId="0" xfId="0" applyFont="1" applyAlignment="1">
      <alignment horizontal="center"/>
    </xf>
    <xf numFmtId="4" fontId="28" fillId="9" borderId="0" xfId="3" applyNumberFormat="1" applyFont="1" applyFill="1" applyBorder="1"/>
    <xf numFmtId="44" fontId="28" fillId="9" borderId="0" xfId="3" applyFont="1" applyFill="1" applyBorder="1"/>
    <xf numFmtId="0" fontId="27" fillId="9" borderId="0" xfId="0" applyFont="1" applyFill="1" applyBorder="1"/>
    <xf numFmtId="0" fontId="19" fillId="9" borderId="0" xfId="0" applyFont="1" applyFill="1" applyBorder="1" applyAlignment="1">
      <alignment horizontal="left"/>
    </xf>
    <xf numFmtId="0" fontId="19" fillId="9" borderId="0" xfId="0" applyFont="1" applyFill="1" applyBorder="1" applyAlignment="1">
      <alignment horizontal="center"/>
    </xf>
    <xf numFmtId="0" fontId="19" fillId="9" borderId="0" xfId="0" applyFont="1" applyFill="1" applyBorder="1"/>
    <xf numFmtId="43" fontId="28" fillId="9" borderId="0" xfId="1" applyFont="1" applyFill="1" applyBorder="1"/>
    <xf numFmtId="44" fontId="19" fillId="9" borderId="0" xfId="3" applyFont="1" applyFill="1" applyBorder="1"/>
    <xf numFmtId="0" fontId="27" fillId="0" borderId="0" xfId="0" applyFont="1" applyFill="1" applyBorder="1"/>
    <xf numFmtId="44" fontId="30" fillId="9" borderId="0" xfId="3" applyFont="1" applyFill="1" applyBorder="1" applyAlignment="1">
      <alignment horizontal="center"/>
    </xf>
    <xf numFmtId="43" fontId="27" fillId="9" borderId="0" xfId="0" applyNumberFormat="1" applyFont="1" applyFill="1" applyBorder="1"/>
    <xf numFmtId="0" fontId="0" fillId="0" borderId="0" xfId="0" applyAlignment="1">
      <alignment vertical="center" wrapText="1"/>
    </xf>
    <xf numFmtId="0" fontId="5" fillId="0" borderId="1" xfId="0" applyFont="1" applyBorder="1" applyAlignment="1">
      <alignment horizontal="center" vertical="center"/>
    </xf>
    <xf numFmtId="0" fontId="3" fillId="0" borderId="0" xfId="0" applyFont="1" applyAlignment="1">
      <alignment horizontal="center" vertical="center" wrapText="1"/>
    </xf>
    <xf numFmtId="0" fontId="4" fillId="0" borderId="1" xfId="0" applyFont="1" applyBorder="1" applyAlignment="1">
      <alignment horizontal="center"/>
    </xf>
    <xf numFmtId="0" fontId="5" fillId="0" borderId="0" xfId="0" applyFont="1" applyAlignment="1">
      <alignment horizontal="center"/>
    </xf>
    <xf numFmtId="0" fontId="8" fillId="0" borderId="1" xfId="0" applyFont="1" applyBorder="1" applyAlignment="1">
      <alignment horizontal="center"/>
    </xf>
    <xf numFmtId="0" fontId="5" fillId="0" borderId="0" xfId="0" applyFont="1" applyAlignment="1">
      <alignment horizontal="center" vertical="center"/>
    </xf>
    <xf numFmtId="0" fontId="5" fillId="0" borderId="0" xfId="0" applyFont="1" applyAlignment="1">
      <alignment horizontal="center" vertical="center" wrapText="1"/>
    </xf>
    <xf numFmtId="0" fontId="3" fillId="0" borderId="0" xfId="0" applyFont="1" applyAlignment="1">
      <alignment horizontal="center" vertical="center"/>
    </xf>
    <xf numFmtId="0" fontId="4" fillId="0" borderId="0" xfId="0" applyFont="1" applyAlignment="1">
      <alignment horizontal="center"/>
    </xf>
    <xf numFmtId="0" fontId="8" fillId="0" borderId="1" xfId="0" applyFont="1" applyBorder="1" applyAlignment="1">
      <alignment horizontal="center" vertical="center"/>
    </xf>
    <xf numFmtId="0" fontId="11" fillId="0" borderId="0" xfId="0" applyFont="1" applyAlignment="1">
      <alignment horizontal="center"/>
    </xf>
    <xf numFmtId="0" fontId="5" fillId="0" borderId="1" xfId="0" applyFont="1" applyBorder="1" applyAlignment="1">
      <alignment horizontal="center"/>
    </xf>
    <xf numFmtId="14" fontId="17" fillId="3" borderId="0" xfId="0" applyNumberFormat="1" applyFont="1" applyFill="1" applyAlignment="1">
      <alignment horizontal="center"/>
    </xf>
    <xf numFmtId="14" fontId="18" fillId="4" borderId="0" xfId="0" applyNumberFormat="1" applyFont="1" applyFill="1" applyAlignment="1">
      <alignment horizontal="center"/>
    </xf>
    <xf numFmtId="0" fontId="26" fillId="9" borderId="0" xfId="0" applyFont="1" applyFill="1" applyAlignment="1">
      <alignment horizontal="center"/>
    </xf>
    <xf numFmtId="0" fontId="19" fillId="9" borderId="0" xfId="0" applyFont="1" applyFill="1" applyAlignment="1">
      <alignment horizontal="left"/>
    </xf>
    <xf numFmtId="0" fontId="19" fillId="9" borderId="0" xfId="0" applyFont="1" applyFill="1" applyAlignment="1">
      <alignment horizontal="center"/>
    </xf>
    <xf numFmtId="0" fontId="19" fillId="9" borderId="0" xfId="0" applyFont="1" applyFill="1" applyBorder="1" applyAlignment="1">
      <alignment horizontal="left"/>
    </xf>
    <xf numFmtId="0" fontId="33" fillId="11" borderId="5" xfId="0" applyFont="1" applyFill="1" applyBorder="1" applyAlignment="1">
      <alignment horizontal="center"/>
    </xf>
    <xf numFmtId="0" fontId="0" fillId="0" borderId="5" xfId="0" applyBorder="1" applyAlignment="1">
      <alignment horizontal="center"/>
    </xf>
    <xf numFmtId="0" fontId="0" fillId="0" borderId="5" xfId="0" applyBorder="1"/>
    <xf numFmtId="165" fontId="0" fillId="0" borderId="5" xfId="0" applyNumberFormat="1" applyFont="1" applyBorder="1"/>
    <xf numFmtId="166" fontId="0" fillId="0" borderId="5" xfId="0" applyNumberFormat="1" applyBorder="1"/>
    <xf numFmtId="9" fontId="0" fillId="0" borderId="5" xfId="4" applyNumberFormat="1" applyFont="1" applyBorder="1"/>
    <xf numFmtId="0" fontId="0" fillId="4" borderId="5" xfId="0" applyFont="1" applyFill="1" applyBorder="1"/>
    <xf numFmtId="166" fontId="0" fillId="4" borderId="5" xfId="0" applyNumberFormat="1" applyFont="1" applyFill="1" applyBorder="1"/>
    <xf numFmtId="0" fontId="0" fillId="12" borderId="5" xfId="0" applyFill="1" applyBorder="1"/>
    <xf numFmtId="2" fontId="0" fillId="12" borderId="5" xfId="0" applyNumberFormat="1" applyFill="1" applyBorder="1"/>
    <xf numFmtId="0" fontId="0" fillId="0" borderId="5" xfId="0" applyFill="1" applyBorder="1"/>
    <xf numFmtId="0" fontId="35" fillId="0" borderId="1" xfId="0" applyFont="1" applyBorder="1" applyAlignment="1">
      <alignment horizontal="center"/>
    </xf>
    <xf numFmtId="0" fontId="35" fillId="0" borderId="5" xfId="0" applyFont="1" applyBorder="1" applyAlignment="1">
      <alignment horizontal="center"/>
    </xf>
    <xf numFmtId="0" fontId="35" fillId="0" borderId="6" xfId="0" applyFont="1" applyBorder="1" applyAlignment="1">
      <alignment horizontal="center"/>
    </xf>
    <xf numFmtId="0" fontId="35" fillId="0" borderId="7" xfId="0" applyFont="1" applyBorder="1" applyAlignment="1">
      <alignment horizontal="center"/>
    </xf>
    <xf numFmtId="0" fontId="35" fillId="0" borderId="8" xfId="0" applyFont="1" applyBorder="1" applyAlignment="1">
      <alignment horizontal="center"/>
    </xf>
    <xf numFmtId="44" fontId="35" fillId="0" borderId="7" xfId="0" applyNumberFormat="1" applyFont="1" applyBorder="1" applyAlignment="1"/>
    <xf numFmtId="44" fontId="36" fillId="0" borderId="7" xfId="3" applyFont="1" applyBorder="1" applyAlignment="1">
      <alignment horizontal="center"/>
    </xf>
    <xf numFmtId="44" fontId="35" fillId="0" borderId="8" xfId="0" applyNumberFormat="1" applyFont="1" applyBorder="1"/>
    <xf numFmtId="0" fontId="35" fillId="0" borderId="7" xfId="0" applyFont="1" applyBorder="1"/>
    <xf numFmtId="0" fontId="35" fillId="0" borderId="8" xfId="0" applyFont="1" applyBorder="1"/>
    <xf numFmtId="0" fontId="34" fillId="0" borderId="9" xfId="0" applyFont="1" applyBorder="1" applyAlignment="1">
      <alignment horizontal="left"/>
    </xf>
    <xf numFmtId="0" fontId="34" fillId="0" borderId="0" xfId="0" applyFont="1" applyBorder="1" applyAlignment="1">
      <alignment horizontal="left"/>
    </xf>
    <xf numFmtId="44" fontId="35" fillId="0" borderId="0" xfId="0" applyNumberFormat="1" applyFont="1" applyBorder="1" applyAlignment="1">
      <alignment horizontal="left"/>
    </xf>
    <xf numFmtId="44" fontId="36" fillId="0" borderId="0" xfId="0" applyNumberFormat="1" applyFont="1" applyBorder="1"/>
    <xf numFmtId="44" fontId="35" fillId="0" borderId="10" xfId="0" applyNumberFormat="1" applyFont="1" applyBorder="1"/>
    <xf numFmtId="0" fontId="35" fillId="0" borderId="0" xfId="0" applyFont="1" applyBorder="1"/>
    <xf numFmtId="44" fontId="36" fillId="0" borderId="0" xfId="3" applyFont="1" applyBorder="1" applyAlignment="1">
      <alignment horizontal="center"/>
    </xf>
    <xf numFmtId="2" fontId="35" fillId="0" borderId="10" xfId="0" applyNumberFormat="1" applyFont="1" applyBorder="1"/>
    <xf numFmtId="0" fontId="35" fillId="0" borderId="10" xfId="0" applyFont="1" applyBorder="1"/>
    <xf numFmtId="0" fontId="35" fillId="0" borderId="9" xfId="0" applyFont="1" applyBorder="1"/>
    <xf numFmtId="0" fontId="36" fillId="0" borderId="0" xfId="0" applyFont="1" applyBorder="1"/>
    <xf numFmtId="0" fontId="35" fillId="0" borderId="11" xfId="0" applyFont="1" applyBorder="1" applyAlignment="1">
      <alignment horizontal="center"/>
    </xf>
    <xf numFmtId="0" fontId="35" fillId="0" borderId="2" xfId="0" applyFont="1" applyBorder="1" applyAlignment="1">
      <alignment horizontal="center"/>
    </xf>
    <xf numFmtId="44" fontId="35" fillId="0" borderId="12" xfId="0" applyNumberFormat="1" applyFont="1" applyBorder="1" applyAlignment="1"/>
    <xf numFmtId="2" fontId="35" fillId="0" borderId="12" xfId="0" applyNumberFormat="1" applyFont="1" applyBorder="1" applyAlignment="1"/>
    <xf numFmtId="0" fontId="35" fillId="0" borderId="0" xfId="0" applyFont="1" applyBorder="1" applyAlignment="1">
      <alignment horizontal="center"/>
    </xf>
    <xf numFmtId="0" fontId="35" fillId="0" borderId="0" xfId="0" applyFont="1"/>
    <xf numFmtId="0" fontId="34" fillId="0" borderId="11" xfId="0" applyFont="1" applyBorder="1" applyAlignment="1">
      <alignment horizontal="center"/>
    </xf>
    <xf numFmtId="0" fontId="34" fillId="0" borderId="2" xfId="0" applyFont="1" applyBorder="1" applyAlignment="1">
      <alignment horizontal="center"/>
    </xf>
    <xf numFmtId="44" fontId="35" fillId="0" borderId="12" xfId="0" applyNumberFormat="1" applyFont="1" applyBorder="1"/>
    <xf numFmtId="0" fontId="35" fillId="0" borderId="6" xfId="0" applyFont="1" applyBorder="1" applyAlignment="1">
      <alignment horizontal="left"/>
    </xf>
    <xf numFmtId="0" fontId="35" fillId="0" borderId="7" xfId="0" applyFont="1" applyBorder="1" applyAlignment="1">
      <alignment horizontal="left"/>
    </xf>
    <xf numFmtId="0" fontId="34" fillId="0" borderId="0" xfId="0" applyFont="1" applyAlignment="1"/>
    <xf numFmtId="0" fontId="35" fillId="0" borderId="0" xfId="0" applyFont="1" applyAlignment="1"/>
    <xf numFmtId="0" fontId="35" fillId="9" borderId="0" xfId="0" applyFont="1" applyFill="1"/>
    <xf numFmtId="0" fontId="0" fillId="0" borderId="0" xfId="0" applyAlignment="1">
      <alignment horizontal="center"/>
    </xf>
    <xf numFmtId="0" fontId="39" fillId="0" borderId="0" xfId="0" applyFont="1" applyAlignment="1">
      <alignment horizontal="center"/>
    </xf>
    <xf numFmtId="0" fontId="2" fillId="0" borderId="0" xfId="0" applyFont="1"/>
    <xf numFmtId="0" fontId="0" fillId="0" borderId="0" xfId="0" applyFont="1"/>
    <xf numFmtId="0" fontId="40" fillId="0" borderId="0" xfId="0" applyFont="1" applyAlignment="1"/>
    <xf numFmtId="0" fontId="38" fillId="0" borderId="0" xfId="0" applyFont="1" applyAlignment="1"/>
    <xf numFmtId="44" fontId="40" fillId="0" borderId="0" xfId="3" applyFont="1" applyAlignment="1"/>
    <xf numFmtId="44" fontId="35" fillId="9" borderId="0" xfId="0" applyNumberFormat="1" applyFont="1" applyFill="1"/>
    <xf numFmtId="0" fontId="35" fillId="9" borderId="0" xfId="0" applyFont="1" applyFill="1" applyBorder="1"/>
    <xf numFmtId="44" fontId="33" fillId="9" borderId="10" xfId="0" applyNumberFormat="1" applyFont="1" applyFill="1" applyBorder="1"/>
    <xf numFmtId="44" fontId="0" fillId="0" borderId="0" xfId="0" applyNumberFormat="1"/>
    <xf numFmtId="44" fontId="0" fillId="9" borderId="5" xfId="3" applyFont="1" applyFill="1" applyBorder="1"/>
    <xf numFmtId="44" fontId="0" fillId="9" borderId="0" xfId="0" applyNumberFormat="1" applyFill="1"/>
    <xf numFmtId="6" fontId="0" fillId="9" borderId="0" xfId="0" applyNumberFormat="1" applyFill="1"/>
    <xf numFmtId="44" fontId="0" fillId="0" borderId="5" xfId="3" applyFont="1" applyBorder="1"/>
    <xf numFmtId="9" fontId="0" fillId="0" borderId="0" xfId="0" applyNumberFormat="1"/>
    <xf numFmtId="0" fontId="0" fillId="9" borderId="0" xfId="0" applyFill="1"/>
    <xf numFmtId="8" fontId="0" fillId="9" borderId="0" xfId="0" applyNumberFormat="1" applyFill="1"/>
    <xf numFmtId="6" fontId="0" fillId="9" borderId="5" xfId="0" applyNumberFormat="1" applyFill="1" applyBorder="1"/>
    <xf numFmtId="44" fontId="0" fillId="9" borderId="5" xfId="0" applyNumberFormat="1" applyFill="1" applyBorder="1"/>
    <xf numFmtId="3" fontId="0" fillId="9" borderId="5" xfId="0" applyNumberFormat="1" applyFill="1" applyBorder="1"/>
    <xf numFmtId="0" fontId="0" fillId="9" borderId="5" xfId="0" applyFill="1" applyBorder="1"/>
    <xf numFmtId="0" fontId="2" fillId="9" borderId="5" xfId="0" applyFont="1" applyFill="1" applyBorder="1" applyAlignment="1">
      <alignment horizontal="center"/>
    </xf>
    <xf numFmtId="0" fontId="0" fillId="9" borderId="5" xfId="0" applyFill="1" applyBorder="1" applyAlignment="1">
      <alignment vertical="center"/>
    </xf>
    <xf numFmtId="0" fontId="42" fillId="9" borderId="5" xfId="0" applyFont="1" applyFill="1" applyBorder="1" applyAlignment="1">
      <alignment horizontal="center" vertical="center" wrapText="1"/>
    </xf>
    <xf numFmtId="0" fontId="0" fillId="9" borderId="5" xfId="0" applyFill="1" applyBorder="1" applyAlignment="1">
      <alignment horizontal="left"/>
    </xf>
    <xf numFmtId="0" fontId="0" fillId="9" borderId="5" xfId="0" applyFill="1" applyBorder="1" applyAlignment="1">
      <alignment horizontal="center"/>
    </xf>
    <xf numFmtId="0" fontId="0" fillId="9" borderId="11" xfId="0" applyFill="1" applyBorder="1" applyAlignment="1">
      <alignment horizontal="center"/>
    </xf>
    <xf numFmtId="0" fontId="0" fillId="9" borderId="12" xfId="0" applyFill="1" applyBorder="1" applyAlignment="1">
      <alignment horizontal="center"/>
    </xf>
    <xf numFmtId="0" fontId="2" fillId="9" borderId="0" xfId="0" applyFont="1" applyFill="1" applyAlignment="1">
      <alignment horizontal="center" vertical="center" wrapText="1"/>
    </xf>
    <xf numFmtId="0" fontId="44" fillId="9" borderId="0" xfId="0" applyFont="1" applyFill="1" applyAlignment="1">
      <alignment horizontal="center" vertical="center" wrapText="1"/>
    </xf>
    <xf numFmtId="0" fontId="0" fillId="10" borderId="5" xfId="0" applyFill="1" applyBorder="1"/>
    <xf numFmtId="0" fontId="37" fillId="10" borderId="5" xfId="0" applyFont="1" applyFill="1" applyBorder="1" applyAlignment="1">
      <alignment horizontal="center"/>
    </xf>
    <xf numFmtId="6" fontId="0" fillId="9" borderId="5" xfId="3" applyNumberFormat="1" applyFont="1" applyFill="1" applyBorder="1"/>
    <xf numFmtId="0" fontId="0" fillId="9" borderId="5" xfId="0" applyFill="1" applyBorder="1" applyAlignment="1">
      <alignment horizontal="left"/>
    </xf>
    <xf numFmtId="0" fontId="0" fillId="10" borderId="0" xfId="0" applyFill="1"/>
    <xf numFmtId="44" fontId="0" fillId="10" borderId="0" xfId="3" applyFont="1" applyFill="1"/>
    <xf numFmtId="0" fontId="44" fillId="9" borderId="0" xfId="0" applyFont="1" applyFill="1" applyAlignment="1">
      <alignment horizontal="center" vertical="center" wrapText="1"/>
    </xf>
    <xf numFmtId="0" fontId="2" fillId="9" borderId="0" xfId="0" applyFont="1" applyFill="1" applyBorder="1" applyAlignment="1">
      <alignment horizontal="center"/>
    </xf>
    <xf numFmtId="0" fontId="0" fillId="9" borderId="0" xfId="0" applyFill="1" applyBorder="1"/>
    <xf numFmtId="0" fontId="42" fillId="9" borderId="0" xfId="0" applyFont="1" applyFill="1" applyBorder="1" applyAlignment="1">
      <alignment horizontal="center" vertical="center" wrapText="1"/>
    </xf>
    <xf numFmtId="0" fontId="0" fillId="9" borderId="9" xfId="0" applyFill="1" applyBorder="1"/>
    <xf numFmtId="0" fontId="0" fillId="9" borderId="0" xfId="0" applyFill="1" applyBorder="1" applyAlignment="1">
      <alignment horizontal="center"/>
    </xf>
    <xf numFmtId="0" fontId="0" fillId="9" borderId="0" xfId="0" applyFill="1" applyBorder="1" applyAlignment="1">
      <alignment horizontal="left"/>
    </xf>
    <xf numFmtId="0" fontId="2" fillId="9" borderId="5" xfId="0" applyFont="1" applyFill="1" applyBorder="1" applyAlignment="1">
      <alignment horizontal="center" vertical="center" wrapText="1"/>
    </xf>
    <xf numFmtId="43" fontId="2" fillId="9" borderId="5" xfId="1" applyFont="1" applyFill="1" applyBorder="1" applyAlignment="1">
      <alignment horizontal="center" wrapText="1"/>
    </xf>
    <xf numFmtId="0" fontId="37" fillId="10" borderId="5" xfId="0" applyFont="1" applyFill="1" applyBorder="1" applyAlignment="1">
      <alignment horizontal="center"/>
    </xf>
    <xf numFmtId="9" fontId="0" fillId="9" borderId="5" xfId="0" applyNumberFormat="1" applyFill="1" applyBorder="1" applyAlignment="1">
      <alignment horizontal="center"/>
    </xf>
    <xf numFmtId="44" fontId="0" fillId="9" borderId="5" xfId="3" applyFont="1" applyFill="1" applyBorder="1" applyAlignment="1">
      <alignment horizontal="center"/>
    </xf>
    <xf numFmtId="0" fontId="6" fillId="9" borderId="5" xfId="0" applyFont="1" applyFill="1" applyBorder="1" applyAlignment="1">
      <alignment horizontal="center" vertical="center" readingOrder="1"/>
    </xf>
    <xf numFmtId="44" fontId="0" fillId="9" borderId="5" xfId="0" applyNumberFormat="1" applyFill="1" applyBorder="1" applyAlignment="1">
      <alignment horizontal="center"/>
    </xf>
    <xf numFmtId="0" fontId="0" fillId="10" borderId="5" xfId="0" applyFill="1" applyBorder="1" applyAlignment="1">
      <alignment horizontal="center" vertical="center" wrapText="1"/>
    </xf>
    <xf numFmtId="3" fontId="0" fillId="10" borderId="13" xfId="0" applyNumberFormat="1" applyFill="1" applyBorder="1" applyAlignment="1">
      <alignment horizontal="center" vertical="center"/>
    </xf>
    <xf numFmtId="44" fontId="0" fillId="10" borderId="13" xfId="0" applyNumberFormat="1" applyFill="1" applyBorder="1" applyAlignment="1">
      <alignment horizontal="center" vertical="center"/>
    </xf>
    <xf numFmtId="44" fontId="0" fillId="10" borderId="5" xfId="3" applyFont="1" applyFill="1" applyBorder="1" applyAlignment="1">
      <alignment horizontal="center" vertical="center"/>
    </xf>
    <xf numFmtId="0" fontId="0" fillId="10" borderId="14" xfId="0" applyFill="1" applyBorder="1" applyAlignment="1">
      <alignment horizontal="center" vertical="center"/>
    </xf>
    <xf numFmtId="0" fontId="0" fillId="10" borderId="15" xfId="0" applyFill="1" applyBorder="1" applyAlignment="1">
      <alignment horizontal="center" vertical="center"/>
    </xf>
    <xf numFmtId="0" fontId="2" fillId="10" borderId="5" xfId="0" applyFont="1" applyFill="1" applyBorder="1" applyAlignment="1">
      <alignment horizontal="center"/>
    </xf>
    <xf numFmtId="0" fontId="2" fillId="10" borderId="5" xfId="0" applyFont="1" applyFill="1" applyBorder="1" applyAlignment="1">
      <alignment horizontal="center"/>
    </xf>
    <xf numFmtId="44" fontId="34" fillId="0" borderId="0" xfId="0" applyNumberFormat="1" applyFont="1" applyAlignment="1"/>
    <xf numFmtId="44" fontId="40" fillId="0" borderId="0" xfId="0" applyNumberFormat="1" applyFont="1" applyAlignment="1"/>
    <xf numFmtId="44" fontId="46" fillId="0" borderId="12" xfId="0" applyNumberFormat="1" applyFont="1" applyBorder="1"/>
    <xf numFmtId="0" fontId="47" fillId="0" borderId="11" xfId="0" applyFont="1" applyBorder="1" applyAlignment="1">
      <alignment horizontal="center"/>
    </xf>
    <xf numFmtId="0" fontId="47" fillId="0" borderId="2" xfId="0" applyFont="1" applyBorder="1" applyAlignment="1">
      <alignment horizontal="center"/>
    </xf>
    <xf numFmtId="2" fontId="35" fillId="9" borderId="10" xfId="0" applyNumberFormat="1" applyFont="1" applyFill="1" applyBorder="1"/>
    <xf numFmtId="44" fontId="45" fillId="0" borderId="7" xfId="3" applyFont="1" applyBorder="1" applyAlignment="1">
      <alignment horizontal="center"/>
    </xf>
    <xf numFmtId="44" fontId="45" fillId="0" borderId="0" xfId="0" applyNumberFormat="1" applyFont="1" applyBorder="1"/>
    <xf numFmtId="0" fontId="0" fillId="12" borderId="13" xfId="0" applyFill="1" applyBorder="1"/>
    <xf numFmtId="0" fontId="0" fillId="0" borderId="0" xfId="0" applyBorder="1"/>
    <xf numFmtId="166" fontId="0" fillId="0" borderId="0" xfId="0" applyNumberFormat="1" applyBorder="1"/>
    <xf numFmtId="0" fontId="0" fillId="0" borderId="0" xfId="0" applyFill="1" applyBorder="1"/>
    <xf numFmtId="0" fontId="35" fillId="0" borderId="11" xfId="0" applyFont="1" applyBorder="1" applyAlignment="1">
      <alignment horizontal="left"/>
    </xf>
    <xf numFmtId="0" fontId="35" fillId="0" borderId="2" xfId="0" applyFont="1" applyBorder="1" applyAlignment="1">
      <alignment horizontal="left"/>
    </xf>
    <xf numFmtId="0" fontId="45" fillId="0" borderId="0" xfId="0" applyFont="1" applyBorder="1"/>
    <xf numFmtId="2" fontId="45" fillId="0" borderId="10" xfId="0" applyNumberFormat="1" applyFont="1" applyBorder="1"/>
    <xf numFmtId="0" fontId="38" fillId="0" borderId="0" xfId="0" applyFont="1" applyAlignment="1">
      <alignment horizontal="left" vertical="center" wrapText="1" indent="1"/>
    </xf>
    <xf numFmtId="2" fontId="0" fillId="12" borderId="13" xfId="0" applyNumberFormat="1" applyFill="1" applyBorder="1"/>
    <xf numFmtId="166" fontId="0" fillId="9" borderId="0" xfId="0" applyNumberFormat="1" applyFill="1" applyBorder="1"/>
    <xf numFmtId="166" fontId="0" fillId="0" borderId="0" xfId="0" applyNumberFormat="1"/>
    <xf numFmtId="0" fontId="48" fillId="0" borderId="0" xfId="0" applyFont="1" applyAlignment="1">
      <alignment horizontal="center" vertical="center" wrapText="1"/>
    </xf>
    <xf numFmtId="0" fontId="35" fillId="0" borderId="0" xfId="0" applyFont="1" applyBorder="1" applyAlignment="1">
      <alignment horizontal="center"/>
    </xf>
    <xf numFmtId="44" fontId="35" fillId="0" borderId="0" xfId="0" applyNumberFormat="1" applyFont="1" applyBorder="1" applyAlignment="1"/>
    <xf numFmtId="2" fontId="35" fillId="0" borderId="0" xfId="0" applyNumberFormat="1" applyFont="1" applyBorder="1" applyAlignment="1"/>
    <xf numFmtId="0" fontId="49" fillId="0" borderId="0" xfId="0" applyFont="1"/>
    <xf numFmtId="0" fontId="0" fillId="0" borderId="0" xfId="0" applyFont="1" applyAlignment="1">
      <alignment horizontal="center"/>
    </xf>
    <xf numFmtId="165" fontId="0" fillId="0" borderId="0" xfId="0" applyNumberFormat="1" applyFont="1"/>
    <xf numFmtId="49" fontId="49" fillId="13" borderId="16" xfId="0" applyNumberFormat="1" applyFont="1" applyFill="1" applyBorder="1" applyAlignment="1">
      <alignment horizontal="center" vertical="center"/>
    </xf>
    <xf numFmtId="0" fontId="49" fillId="13" borderId="17" xfId="0" applyFont="1" applyFill="1" applyBorder="1" applyAlignment="1">
      <alignment horizontal="center" vertical="center" wrapText="1"/>
    </xf>
    <xf numFmtId="49" fontId="49" fillId="13" borderId="17" xfId="0" applyNumberFormat="1" applyFont="1" applyFill="1" applyBorder="1" applyAlignment="1">
      <alignment horizontal="center" vertical="center" wrapText="1"/>
    </xf>
    <xf numFmtId="0" fontId="49" fillId="13" borderId="18" xfId="0" applyFont="1" applyFill="1" applyBorder="1" applyAlignment="1">
      <alignment horizontal="center" vertical="center" wrapText="1"/>
    </xf>
    <xf numFmtId="49" fontId="49" fillId="0" borderId="0" xfId="0" applyNumberFormat="1" applyFont="1"/>
    <xf numFmtId="0" fontId="49" fillId="13" borderId="20" xfId="0" applyFont="1" applyFill="1" applyBorder="1" applyAlignment="1">
      <alignment horizontal="center"/>
    </xf>
    <xf numFmtId="49" fontId="49" fillId="13" borderId="21" xfId="0" applyNumberFormat="1" applyFont="1" applyFill="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5" xfId="0" applyFont="1" applyBorder="1" applyAlignment="1">
      <alignment horizontal="center"/>
    </xf>
    <xf numFmtId="165" fontId="0" fillId="0" borderId="5" xfId="0" applyNumberFormat="1" applyFont="1" applyBorder="1" applyAlignment="1">
      <alignment horizontal="center"/>
    </xf>
    <xf numFmtId="0" fontId="49" fillId="0" borderId="0" xfId="0" applyFont="1" applyAlignment="1">
      <alignment horizontal="center"/>
    </xf>
    <xf numFmtId="0" fontId="0" fillId="0" borderId="22" xfId="0" applyFont="1" applyBorder="1" applyAlignment="1">
      <alignment horizontal="center"/>
    </xf>
    <xf numFmtId="0" fontId="49" fillId="13" borderId="23" xfId="0" applyFont="1" applyFill="1" applyBorder="1" applyAlignment="1">
      <alignment horizontal="center" vertical="center" wrapText="1"/>
    </xf>
    <xf numFmtId="0" fontId="49" fillId="13" borderId="14" xfId="0" applyFont="1" applyFill="1" applyBorder="1" applyAlignment="1">
      <alignment horizontal="center" vertical="center" wrapText="1"/>
    </xf>
    <xf numFmtId="0" fontId="49" fillId="13" borderId="24" xfId="0" applyFont="1" applyFill="1" applyBorder="1" applyAlignment="1">
      <alignment horizontal="center" vertical="center" wrapText="1"/>
    </xf>
    <xf numFmtId="165" fontId="0" fillId="14" borderId="5" xfId="0" applyNumberFormat="1" applyFont="1" applyFill="1" applyBorder="1"/>
    <xf numFmtId="0" fontId="51" fillId="15" borderId="19" xfId="0" applyFont="1" applyFill="1" applyBorder="1" applyAlignment="1">
      <alignment horizontal="center" vertical="center" wrapText="1"/>
    </xf>
    <xf numFmtId="0" fontId="52" fillId="0" borderId="0" xfId="0" applyFont="1" applyAlignment="1">
      <alignment horizontal="center"/>
    </xf>
    <xf numFmtId="0" fontId="50" fillId="0" borderId="5" xfId="0" applyFont="1" applyBorder="1"/>
    <xf numFmtId="9" fontId="0" fillId="0" borderId="5" xfId="4" applyFont="1" applyBorder="1" applyAlignment="1">
      <alignment horizontal="center"/>
    </xf>
    <xf numFmtId="2" fontId="0" fillId="0" borderId="0" xfId="0" applyNumberFormat="1"/>
    <xf numFmtId="175" fontId="32" fillId="0" borderId="0" xfId="0" applyNumberFormat="1" applyFont="1"/>
    <xf numFmtId="44" fontId="0" fillId="0" borderId="5" xfId="3" applyFont="1" applyBorder="1" applyAlignment="1">
      <alignment horizontal="center"/>
    </xf>
    <xf numFmtId="44" fontId="0" fillId="14" borderId="5" xfId="3" applyFont="1" applyFill="1" applyBorder="1"/>
    <xf numFmtId="2" fontId="0" fillId="0" borderId="0" xfId="0" applyNumberFormat="1" applyFont="1"/>
    <xf numFmtId="0" fontId="53" fillId="0" borderId="0" xfId="0" applyFont="1" applyAlignment="1">
      <alignment horizontal="center"/>
    </xf>
    <xf numFmtId="0" fontId="0" fillId="0" borderId="0" xfId="0" applyAlignment="1"/>
    <xf numFmtId="0" fontId="0" fillId="4" borderId="5" xfId="0" applyFill="1" applyBorder="1" applyAlignment="1">
      <alignment horizontal="center"/>
    </xf>
    <xf numFmtId="0" fontId="0" fillId="16" borderId="5" xfId="0" applyFill="1" applyBorder="1"/>
    <xf numFmtId="6" fontId="0" fillId="16" borderId="5" xfId="0" applyNumberFormat="1" applyFill="1" applyBorder="1"/>
    <xf numFmtId="6" fontId="0" fillId="4" borderId="5" xfId="0" applyNumberFormat="1" applyFill="1" applyBorder="1"/>
    <xf numFmtId="0" fontId="0" fillId="4" borderId="5" xfId="0" applyFill="1" applyBorder="1"/>
    <xf numFmtId="9" fontId="0" fillId="4" borderId="5" xfId="0" applyNumberFormat="1" applyFill="1" applyBorder="1"/>
    <xf numFmtId="9" fontId="0" fillId="2" borderId="5" xfId="0" applyNumberFormat="1" applyFill="1" applyBorder="1"/>
    <xf numFmtId="44" fontId="31" fillId="0" borderId="0" xfId="0" applyNumberFormat="1" applyFont="1"/>
    <xf numFmtId="0" fontId="0" fillId="0" borderId="5" xfId="0" applyBorder="1" applyAlignment="1">
      <alignment horizontal="left" vertical="center" wrapText="1"/>
    </xf>
    <xf numFmtId="0" fontId="54" fillId="0" borderId="0" xfId="0" applyFont="1" applyAlignment="1">
      <alignment horizontal="center"/>
    </xf>
    <xf numFmtId="0" fontId="0" fillId="0" borderId="0" xfId="0" applyNumberFormat="1"/>
    <xf numFmtId="0" fontId="0" fillId="17" borderId="5" xfId="0" applyFill="1" applyBorder="1"/>
    <xf numFmtId="44" fontId="0" fillId="16" borderId="5" xfId="0" applyNumberFormat="1" applyFill="1" applyBorder="1"/>
    <xf numFmtId="44" fontId="0" fillId="17" borderId="5" xfId="0" applyNumberFormat="1" applyFill="1" applyBorder="1"/>
    <xf numFmtId="44" fontId="0" fillId="0" borderId="0" xfId="0" applyNumberFormat="1" applyAlignment="1">
      <alignment horizontal="center" vertical="center"/>
    </xf>
    <xf numFmtId="9" fontId="0" fillId="0" borderId="7" xfId="0" applyNumberFormat="1" applyBorder="1" applyAlignment="1">
      <alignment horizontal="center"/>
    </xf>
    <xf numFmtId="0" fontId="0" fillId="0" borderId="7" xfId="0" applyBorder="1" applyAlignment="1">
      <alignment horizontal="center"/>
    </xf>
    <xf numFmtId="0" fontId="0" fillId="0" borderId="0" xfId="0" applyAlignment="1">
      <alignment horizontal="center" vertical="center"/>
    </xf>
    <xf numFmtId="0" fontId="2" fillId="10" borderId="0" xfId="0" applyFont="1" applyFill="1"/>
    <xf numFmtId="0" fontId="0" fillId="0" borderId="0" xfId="0"/>
    <xf numFmtId="0" fontId="2" fillId="0" borderId="0" xfId="0" applyFont="1"/>
    <xf numFmtId="49" fontId="2" fillId="0" borderId="0" xfId="0" applyNumberFormat="1" applyFont="1"/>
    <xf numFmtId="49" fontId="0" fillId="0" borderId="0" xfId="0" applyNumberFormat="1"/>
    <xf numFmtId="49" fontId="55" fillId="0" borderId="0" xfId="0" applyNumberFormat="1" applyFont="1"/>
    <xf numFmtId="0" fontId="55" fillId="0" borderId="0" xfId="0" applyFont="1"/>
    <xf numFmtId="4" fontId="0" fillId="0" borderId="0" xfId="0" applyNumberFormat="1"/>
    <xf numFmtId="10" fontId="0" fillId="0" borderId="0" xfId="0" applyNumberFormat="1"/>
    <xf numFmtId="0" fontId="41" fillId="0" borderId="0" xfId="0" applyFont="1"/>
  </cellXfs>
  <cellStyles count="5">
    <cellStyle name="Hipervínculo" xfId="2" builtinId="8"/>
    <cellStyle name="Millares" xfId="1" builtinId="3"/>
    <cellStyle name="Moneda" xfId="3" builtinId="4"/>
    <cellStyle name="Normal" xfId="0" builtinId="0"/>
    <cellStyle name="Porcentaje" xfId="4" builtinId="5"/>
  </cellStyles>
  <dxfs count="6">
    <dxf>
      <font>
        <color rgb="FF00B050"/>
      </font>
    </dxf>
    <dxf>
      <font>
        <color rgb="FFFF0000"/>
      </font>
    </dxf>
    <dxf>
      <font>
        <color rgb="FF00B050"/>
      </font>
    </dxf>
    <dxf>
      <font>
        <color rgb="FFFF0000"/>
      </font>
    </dxf>
    <dxf>
      <font>
        <color rgb="FF00B05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8</xdr:col>
      <xdr:colOff>666750</xdr:colOff>
      <xdr:row>0</xdr:row>
      <xdr:rowOff>0</xdr:rowOff>
    </xdr:from>
    <xdr:to>
      <xdr:col>13</xdr:col>
      <xdr:colOff>47625</xdr:colOff>
      <xdr:row>14</xdr:row>
      <xdr:rowOff>171450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62775" y="0"/>
          <a:ext cx="3190875" cy="31908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1449918</xdr:colOff>
      <xdr:row>0</xdr:row>
      <xdr:rowOff>95249</xdr:rowOff>
    </xdr:from>
    <xdr:to>
      <xdr:col>3</xdr:col>
      <xdr:colOff>63500</xdr:colOff>
      <xdr:row>5</xdr:row>
      <xdr:rowOff>58254</xdr:rowOff>
    </xdr:to>
    <xdr:pic>
      <xdr:nvPicPr>
        <xdr:cNvPr id="2" name="Imagen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70" t="12389" r="1770" b="1"/>
        <a:stretch/>
      </xdr:blipFill>
      <xdr:spPr>
        <a:xfrm>
          <a:off x="1862668" y="95249"/>
          <a:ext cx="1238249" cy="1084838"/>
        </a:xfrm>
        <a:prstGeom prst="rect">
          <a:avLst/>
        </a:prstGeom>
      </xdr:spPr>
    </xdr:pic>
    <xdr:clientData/>
  </xdr:twoCellAnchor>
  <xdr:twoCellAnchor editAs="oneCell">
    <xdr:from>
      <xdr:col>11</xdr:col>
      <xdr:colOff>374651</xdr:colOff>
      <xdr:row>1</xdr:row>
      <xdr:rowOff>99483</xdr:rowOff>
    </xdr:from>
    <xdr:to>
      <xdr:col>12</xdr:col>
      <xdr:colOff>1037167</xdr:colOff>
      <xdr:row>8</xdr:row>
      <xdr:rowOff>130990</xdr:rowOff>
    </xdr:to>
    <xdr:pic>
      <xdr:nvPicPr>
        <xdr:cNvPr id="3" name="Imagen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70" t="12389" r="1770" b="1"/>
        <a:stretch/>
      </xdr:blipFill>
      <xdr:spPr>
        <a:xfrm>
          <a:off x="11677651" y="289983"/>
          <a:ext cx="1932516" cy="1693090"/>
        </a:xfrm>
        <a:prstGeom prst="rect">
          <a:avLst/>
        </a:prstGeom>
      </xdr:spPr>
    </xdr:pic>
    <xdr:clientData/>
  </xdr:twoCellAnchor>
  <xdr:twoCellAnchor>
    <xdr:from>
      <xdr:col>10</xdr:col>
      <xdr:colOff>31750</xdr:colOff>
      <xdr:row>32</xdr:row>
      <xdr:rowOff>0</xdr:rowOff>
    </xdr:from>
    <xdr:to>
      <xdr:col>14</xdr:col>
      <xdr:colOff>296333</xdr:colOff>
      <xdr:row>32</xdr:row>
      <xdr:rowOff>10583</xdr:rowOff>
    </xdr:to>
    <xdr:cxnSp macro="">
      <xdr:nvCxnSpPr>
        <xdr:cNvPr id="5" name="Conector recto de flecha 4"/>
        <xdr:cNvCxnSpPr/>
      </xdr:nvCxnSpPr>
      <xdr:spPr>
        <a:xfrm flipV="1">
          <a:off x="11271250" y="7397750"/>
          <a:ext cx="3556000" cy="10583"/>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698501</xdr:colOff>
      <xdr:row>0</xdr:row>
      <xdr:rowOff>0</xdr:rowOff>
    </xdr:from>
    <xdr:to>
      <xdr:col>27</xdr:col>
      <xdr:colOff>70915</xdr:colOff>
      <xdr:row>27</xdr:row>
      <xdr:rowOff>0</xdr:rowOff>
    </xdr:to>
    <xdr:pic>
      <xdr:nvPicPr>
        <xdr:cNvPr id="2" name="Imagen 1"/>
        <xdr:cNvPicPr>
          <a:picLocks noChangeAspect="1"/>
        </xdr:cNvPicPr>
      </xdr:nvPicPr>
      <xdr:blipFill rotWithShape="1">
        <a:blip xmlns:r="http://schemas.openxmlformats.org/officeDocument/2006/relationships" r:embed="rId1"/>
        <a:srcRect l="13163" t="6511" r="14442" b="7975"/>
        <a:stretch/>
      </xdr:blipFill>
      <xdr:spPr>
        <a:xfrm>
          <a:off x="21399501" y="0"/>
          <a:ext cx="7754414" cy="514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419100</xdr:colOff>
      <xdr:row>0</xdr:row>
      <xdr:rowOff>171450</xdr:rowOff>
    </xdr:from>
    <xdr:to>
      <xdr:col>12</xdr:col>
      <xdr:colOff>265368</xdr:colOff>
      <xdr:row>19</xdr:row>
      <xdr:rowOff>11531</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86375" y="171450"/>
          <a:ext cx="4418268" cy="34595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219075</xdr:colOff>
      <xdr:row>5</xdr:row>
      <xdr:rowOff>161925</xdr:rowOff>
    </xdr:from>
    <xdr:to>
      <xdr:col>9</xdr:col>
      <xdr:colOff>342900</xdr:colOff>
      <xdr:row>12</xdr:row>
      <xdr:rowOff>28575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57850" y="1219200"/>
          <a:ext cx="2409825" cy="2409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228600</xdr:colOff>
      <xdr:row>0</xdr:row>
      <xdr:rowOff>28575</xdr:rowOff>
    </xdr:from>
    <xdr:to>
      <xdr:col>12</xdr:col>
      <xdr:colOff>733425</xdr:colOff>
      <xdr:row>4</xdr:row>
      <xdr:rowOff>1114425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96475" y="28575"/>
          <a:ext cx="2028825" cy="2028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295275</xdr:colOff>
      <xdr:row>1</xdr:row>
      <xdr:rowOff>104775</xdr:rowOff>
    </xdr:from>
    <xdr:to>
      <xdr:col>12</xdr:col>
      <xdr:colOff>561975</xdr:colOff>
      <xdr:row>6</xdr:row>
      <xdr:rowOff>809625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01025" y="295275"/>
          <a:ext cx="1790700" cy="1790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190500</xdr:colOff>
      <xdr:row>0</xdr:row>
      <xdr:rowOff>0</xdr:rowOff>
    </xdr:from>
    <xdr:to>
      <xdr:col>12</xdr:col>
      <xdr:colOff>123825</xdr:colOff>
      <xdr:row>10</xdr:row>
      <xdr:rowOff>209550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62800" y="0"/>
          <a:ext cx="2219325" cy="22193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66676</xdr:colOff>
      <xdr:row>0</xdr:row>
      <xdr:rowOff>57151</xdr:rowOff>
    </xdr:from>
    <xdr:to>
      <xdr:col>11</xdr:col>
      <xdr:colOff>523876</xdr:colOff>
      <xdr:row>9</xdr:row>
      <xdr:rowOff>180976</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1" y="57151"/>
          <a:ext cx="1981200" cy="1981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209550</xdr:colOff>
      <xdr:row>0</xdr:row>
      <xdr:rowOff>0</xdr:rowOff>
    </xdr:from>
    <xdr:to>
      <xdr:col>13</xdr:col>
      <xdr:colOff>352425</xdr:colOff>
      <xdr:row>9</xdr:row>
      <xdr:rowOff>1304925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67550" y="0"/>
          <a:ext cx="3190875" cy="31908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571500</xdr:colOff>
      <xdr:row>0</xdr:row>
      <xdr:rowOff>0</xdr:rowOff>
    </xdr:from>
    <xdr:to>
      <xdr:col>11</xdr:col>
      <xdr:colOff>714375</xdr:colOff>
      <xdr:row>10</xdr:row>
      <xdr:rowOff>1143000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05500" y="0"/>
          <a:ext cx="3190875" cy="31908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1171575</xdr:colOff>
      <xdr:row>0</xdr:row>
      <xdr:rowOff>66675</xdr:rowOff>
    </xdr:from>
    <xdr:to>
      <xdr:col>5</xdr:col>
      <xdr:colOff>66675</xdr:colOff>
      <xdr:row>3</xdr:row>
      <xdr:rowOff>228600</xdr:rowOff>
    </xdr:to>
    <xdr:pic>
      <xdr:nvPicPr>
        <xdr:cNvPr id="2" name="Imagen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70" t="12389" r="1770" b="1"/>
        <a:stretch/>
      </xdr:blipFill>
      <xdr:spPr>
        <a:xfrm>
          <a:off x="5791200" y="66675"/>
          <a:ext cx="1076325" cy="942975"/>
        </a:xfrm>
        <a:prstGeom prst="rect">
          <a:avLst/>
        </a:prstGeom>
      </xdr:spPr>
    </xdr:pic>
    <xdr:clientData/>
  </xdr:twoCellAnchor>
  <xdr:twoCellAnchor editAs="oneCell">
    <xdr:from>
      <xdr:col>0</xdr:col>
      <xdr:colOff>704850</xdr:colOff>
      <xdr:row>0</xdr:row>
      <xdr:rowOff>19050</xdr:rowOff>
    </xdr:from>
    <xdr:to>
      <xdr:col>1</xdr:col>
      <xdr:colOff>1076325</xdr:colOff>
      <xdr:row>3</xdr:row>
      <xdr:rowOff>180975</xdr:rowOff>
    </xdr:to>
    <xdr:pic>
      <xdr:nvPicPr>
        <xdr:cNvPr id="3" name="Imagen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70" t="12389" r="1770" b="1"/>
        <a:stretch/>
      </xdr:blipFill>
      <xdr:spPr>
        <a:xfrm>
          <a:off x="704850" y="19050"/>
          <a:ext cx="1076325" cy="942975"/>
        </a:xfrm>
        <a:prstGeom prst="rect">
          <a:avLst/>
        </a:prstGeom>
      </xdr:spPr>
    </xdr:pic>
    <xdr:clientData/>
  </xdr:twoCellAnchor>
  <xdr:twoCellAnchor editAs="oneCell">
    <xdr:from>
      <xdr:col>12</xdr:col>
      <xdr:colOff>42862</xdr:colOff>
      <xdr:row>8</xdr:row>
      <xdr:rowOff>391717</xdr:rowOff>
    </xdr:from>
    <xdr:to>
      <xdr:col>15</xdr:col>
      <xdr:colOff>247650</xdr:colOff>
      <xdr:row>21</xdr:row>
      <xdr:rowOff>126976</xdr:rowOff>
    </xdr:to>
    <xdr:pic>
      <xdr:nvPicPr>
        <xdr:cNvPr id="4" name="Imagen 3"/>
        <xdr:cNvPicPr>
          <a:picLocks noChangeAspect="1"/>
        </xdr:cNvPicPr>
      </xdr:nvPicPr>
      <xdr:blipFill rotWithShape="1">
        <a:blip xmlns:r="http://schemas.openxmlformats.org/officeDocument/2006/relationships" r:embed="rId2"/>
        <a:srcRect l="21965" t="23050" r="46479" b="7281"/>
        <a:stretch/>
      </xdr:blipFill>
      <xdr:spPr>
        <a:xfrm>
          <a:off x="12187237" y="1915717"/>
          <a:ext cx="2490788" cy="28308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20RESPALDO/CURSOS%20C.C.M.%20TODOS/CIERRE%20ANUAL%20P.F/CALCULO%20ANUAL%202022/EJERCICIO%20ANUAL%20PLATAFORM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20RESPALDO/CLIENTES%20C.P.%20BECERRA/01%20PERSONAS%20FISICAS/01%20CLIENTES%202022/001%20PROYECTO%20VIDEO%20JUEGO/CONCENTRADO%20ALAN%20ACTIVIDAD%20EMPRESARI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RESPALDO/CURSOS%20C.C.M.%20TODOS/03%20SEMINARIO%20DE%20NOMINA/MATERIAL%20NOMINA%20SESION%201/MATERIAL%20NOMINA/NOMINA%20MASIV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CFDI"/>
      <sheetName val="Datos Cfdis Recibidos"/>
      <sheetName val="Datos Cfdis emitido"/>
      <sheetName val="ESTADO BANCARIO"/>
      <sheetName val="ESTADOS BANCARIOS "/>
      <sheetName val="Retenciones"/>
      <sheetName val="P.P."/>
      <sheetName val="Resumen"/>
      <sheetName val="IVA "/>
      <sheetName val="CALCULO ANUAL"/>
      <sheetName val="TARIFAS ANUALES "/>
      <sheetName val="SYS"/>
      <sheetName val="DEDUCC."/>
      <sheetName val="DEDUCCION INV."/>
      <sheetName val="INPC"/>
    </sheetNames>
    <sheetDataSet>
      <sheetData sheetId="0"/>
      <sheetData sheetId="1"/>
      <sheetData sheetId="2"/>
      <sheetData sheetId="3"/>
      <sheetData sheetId="4"/>
      <sheetData sheetId="5"/>
      <sheetData sheetId="6"/>
      <sheetData sheetId="7"/>
      <sheetData sheetId="8"/>
      <sheetData sheetId="9"/>
      <sheetData sheetId="10"/>
      <sheetData sheetId="11">
        <row r="4">
          <cell r="C4">
            <v>0.01</v>
          </cell>
          <cell r="D4">
            <v>7735</v>
          </cell>
          <cell r="E4">
            <v>0</v>
          </cell>
          <cell r="F4">
            <v>1.9199999999999998E-2</v>
          </cell>
        </row>
        <row r="5">
          <cell r="C5">
            <v>7735.01</v>
          </cell>
          <cell r="D5">
            <v>65651.070000000007</v>
          </cell>
          <cell r="E5">
            <v>148.51</v>
          </cell>
          <cell r="F5">
            <v>6.4000000000000001E-2</v>
          </cell>
        </row>
        <row r="6">
          <cell r="C6">
            <v>65651.08</v>
          </cell>
          <cell r="D6">
            <v>115375.9</v>
          </cell>
          <cell r="E6">
            <v>3855.14</v>
          </cell>
          <cell r="F6">
            <v>0.10879999999999999</v>
          </cell>
        </row>
        <row r="7">
          <cell r="C7">
            <v>115375.91</v>
          </cell>
          <cell r="D7">
            <v>134119.41</v>
          </cell>
          <cell r="E7">
            <v>9265.2000000000007</v>
          </cell>
          <cell r="F7">
            <v>0.16</v>
          </cell>
        </row>
        <row r="8">
          <cell r="C8">
            <v>134119.42000000001</v>
          </cell>
          <cell r="D8">
            <v>160577.65</v>
          </cell>
          <cell r="E8">
            <v>12264.16</v>
          </cell>
          <cell r="F8">
            <v>0.1792</v>
          </cell>
        </row>
        <row r="9">
          <cell r="C9">
            <v>160577.66</v>
          </cell>
          <cell r="D9">
            <v>323862</v>
          </cell>
          <cell r="E9">
            <v>17005.47</v>
          </cell>
          <cell r="F9">
            <v>0.21360000000000001</v>
          </cell>
        </row>
        <row r="10">
          <cell r="C10">
            <v>323862.01</v>
          </cell>
          <cell r="D10">
            <v>510451</v>
          </cell>
          <cell r="E10">
            <v>51883.01</v>
          </cell>
          <cell r="F10">
            <v>0.23519999999999999</v>
          </cell>
        </row>
        <row r="11">
          <cell r="C11">
            <v>510451.01</v>
          </cell>
          <cell r="D11">
            <v>974535.03</v>
          </cell>
          <cell r="E11">
            <v>95768.74</v>
          </cell>
          <cell r="F11">
            <v>0.3</v>
          </cell>
        </row>
        <row r="12">
          <cell r="C12">
            <v>974535.04</v>
          </cell>
          <cell r="D12">
            <v>1299380.04</v>
          </cell>
          <cell r="E12">
            <v>234993.95</v>
          </cell>
          <cell r="F12">
            <v>0.32</v>
          </cell>
        </row>
        <row r="13">
          <cell r="C13">
            <v>1299380.05</v>
          </cell>
          <cell r="D13">
            <v>3898140.12</v>
          </cell>
          <cell r="E13">
            <v>338944.34</v>
          </cell>
          <cell r="F13">
            <v>0.34</v>
          </cell>
        </row>
        <row r="14">
          <cell r="C14">
            <v>3898140.13</v>
          </cell>
          <cell r="D14" t="str">
            <v>En adelante</v>
          </cell>
          <cell r="E14">
            <v>1222522.76</v>
          </cell>
          <cell r="F14">
            <v>0.35</v>
          </cell>
        </row>
      </sheetData>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 Moral"/>
      <sheetName val="INGRESOS"/>
      <sheetName val="EGRESOS"/>
      <sheetName val="USO CFDI"/>
      <sheetName val="BANCOS"/>
      <sheetName val="Personas Fisicas Act. Emp."/>
      <sheetName val="IVA "/>
      <sheetName val="AUTOMOVIL"/>
      <sheetName val="CIERRE ANUAL "/>
      <sheetName val="CFDI"/>
      <sheetName val="Hoja6"/>
      <sheetName val="Hoja1"/>
      <sheetName val="IVA"/>
      <sheetName val="Hoja7"/>
      <sheetName val="Hoja2"/>
      <sheetName val="FACTURAS P.F."/>
      <sheetName val="FACTURAS P.M."/>
      <sheetName val="FACTURAS HELI"/>
      <sheetName val="RESUMEN"/>
      <sheetName val="desesperada"/>
      <sheetName val="EMITIDOS "/>
      <sheetName val="RECIBIDOS"/>
      <sheetName val="Tablas de ISR"/>
      <sheetName val="SUELDOS Y SALARIOS"/>
      <sheetName val="Cedula de IVA"/>
      <sheetName val="DEDUCCIONES"/>
      <sheetName val="ISR ANUAL"/>
      <sheetName val="PERDIDA F."/>
      <sheetName val="VENTA A.F."/>
      <sheetName val="INPC"/>
      <sheetName val="DEDUCCION INV."/>
      <sheetName val="PTU"/>
      <sheetName val="TARIFAS1"/>
      <sheetName val="DEDUCCIONES "/>
      <sheetName val="DEPRECIACIONES"/>
      <sheetName val="Tablas de ISR ACT. EMP"/>
    </sheetNames>
    <sheetDataSet>
      <sheetData sheetId="0"/>
      <sheetData sheetId="1"/>
      <sheetData sheetId="2"/>
      <sheetData sheetId="3"/>
      <sheetData sheetId="4"/>
      <sheetData sheetId="5">
        <row r="44">
          <cell r="M44">
            <v>8646659.8773956988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YG"/>
      <sheetName val="NÓMINA"/>
      <sheetName val="Hoja2"/>
      <sheetName val="Hoja1"/>
      <sheetName val="IMSS"/>
      <sheetName val="TARIFAS"/>
      <sheetName val="ISR"/>
      <sheetName val="Factor Int_Infonavit_prestamos"/>
      <sheetName val="RESUMEN "/>
      <sheetName val="RESUMEN. "/>
      <sheetName val="Hoja4"/>
    </sheetNames>
    <sheetDataSet>
      <sheetData sheetId="0" refreshError="1"/>
      <sheetData sheetId="1">
        <row r="9">
          <cell r="B9" t="str">
            <v>KATIA ALEJANDRA MAQUEDA PINEDA</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facebook.com/00CCM20" TargetMode="External"/><Relationship Id="rId1" Type="http://schemas.openxmlformats.org/officeDocument/2006/relationships/hyperlink" Target="https://www.youtube.com/@consultorescontablesmexico5398/videos"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facebook.com/00CCM20/" TargetMode="External"/><Relationship Id="rId3" Type="http://schemas.openxmlformats.org/officeDocument/2006/relationships/hyperlink" Target="https://www.youtube.com/watch?v=02UXDpWne5s&amp;t=705s" TargetMode="External"/><Relationship Id="rId7" Type="http://schemas.openxmlformats.org/officeDocument/2006/relationships/hyperlink" Target="https://www.youtube.com/watch?v=02UXDpWne5s&amp;t=705s" TargetMode="External"/><Relationship Id="rId2" Type="http://schemas.openxmlformats.org/officeDocument/2006/relationships/hyperlink" Target="https://www.facebook.com/00CCM20/" TargetMode="External"/><Relationship Id="rId1" Type="http://schemas.openxmlformats.org/officeDocument/2006/relationships/hyperlink" Target="https://www.youtube.com/watch?v=02UXDpWne5s&amp;t=705s" TargetMode="External"/><Relationship Id="rId6" Type="http://schemas.openxmlformats.org/officeDocument/2006/relationships/hyperlink" Target="https://www.facebook.com/00CCM20/" TargetMode="External"/><Relationship Id="rId11" Type="http://schemas.openxmlformats.org/officeDocument/2006/relationships/drawing" Target="../drawings/drawing10.xml"/><Relationship Id="rId5" Type="http://schemas.openxmlformats.org/officeDocument/2006/relationships/hyperlink" Target="https://www.youtube.com/watch?v=02UXDpWne5s&amp;t=705s" TargetMode="External"/><Relationship Id="rId10" Type="http://schemas.openxmlformats.org/officeDocument/2006/relationships/hyperlink" Target="https://www.facebook.com/00CCM20/" TargetMode="External"/><Relationship Id="rId4" Type="http://schemas.openxmlformats.org/officeDocument/2006/relationships/hyperlink" Target="https://www.facebook.com/00CCM20/" TargetMode="External"/><Relationship Id="rId9" Type="http://schemas.openxmlformats.org/officeDocument/2006/relationships/hyperlink" Target="https://www.youtube.com/watch?v=02UXDpWne5s&amp;t=705s"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
  <sheetViews>
    <sheetView showGridLines="0" workbookViewId="0">
      <selection activeCell="I18" sqref="I18"/>
    </sheetView>
  </sheetViews>
  <sheetFormatPr baseColWidth="10" defaultColWidth="11.42578125" defaultRowHeight="15" zeroHeight="1"/>
  <cols>
    <col min="1" max="2" width="11.42578125" customWidth="1"/>
    <col min="3" max="3" width="16.42578125" customWidth="1"/>
    <col min="4" max="4" width="1.28515625" customWidth="1"/>
    <col min="5" max="5" width="19.5703125" customWidth="1"/>
    <col min="6" max="9" width="11.42578125" customWidth="1"/>
    <col min="16384" max="16384" width="20.5703125" customWidth="1"/>
  </cols>
  <sheetData>
    <row r="1" spans="2:9"/>
    <row r="2" spans="2:9" ht="15.75">
      <c r="B2" s="33" t="s">
        <v>80</v>
      </c>
      <c r="C2" s="33"/>
      <c r="D2" s="33"/>
      <c r="E2" s="36" t="s">
        <v>81</v>
      </c>
      <c r="F2" s="33"/>
      <c r="G2" s="33"/>
      <c r="H2" s="33"/>
      <c r="I2" s="33"/>
    </row>
    <row r="3" spans="2:9" ht="15.75">
      <c r="B3" s="33" t="s">
        <v>82</v>
      </c>
      <c r="C3" s="33"/>
      <c r="D3" s="33"/>
      <c r="E3" s="36" t="s">
        <v>83</v>
      </c>
      <c r="F3" s="33"/>
      <c r="G3" s="33"/>
      <c r="H3" s="33"/>
      <c r="I3" s="33"/>
    </row>
    <row r="4" spans="2:9" ht="15.75">
      <c r="B4" s="33" t="s">
        <v>84</v>
      </c>
      <c r="C4" s="33"/>
      <c r="D4" s="33"/>
      <c r="E4" s="36" t="s">
        <v>85</v>
      </c>
      <c r="F4" s="33"/>
      <c r="G4" s="33"/>
      <c r="H4" s="33"/>
      <c r="I4" s="33"/>
    </row>
    <row r="5" spans="2:9" ht="15.75">
      <c r="B5" s="33" t="s">
        <v>86</v>
      </c>
      <c r="C5" s="33"/>
      <c r="D5" s="33"/>
      <c r="E5" s="36"/>
      <c r="F5" s="33"/>
      <c r="G5" s="33"/>
      <c r="H5" s="33"/>
      <c r="I5" s="33"/>
    </row>
    <row r="6" spans="2:9" ht="15.75">
      <c r="B6" s="33"/>
      <c r="C6" s="33"/>
      <c r="D6" s="33"/>
      <c r="E6" s="36"/>
      <c r="F6" s="33"/>
      <c r="G6" s="33"/>
      <c r="H6" s="33"/>
      <c r="I6" s="33"/>
    </row>
    <row r="7" spans="2:9" ht="15.75">
      <c r="B7" s="33"/>
      <c r="C7" s="33"/>
      <c r="D7" s="33"/>
      <c r="E7" s="36"/>
      <c r="F7" s="33"/>
      <c r="G7" s="33"/>
      <c r="H7" s="33"/>
      <c r="I7" s="33"/>
    </row>
    <row r="8" spans="2:9" ht="15.75">
      <c r="B8" s="33"/>
      <c r="C8" s="33"/>
      <c r="D8" s="33"/>
      <c r="E8" s="36"/>
      <c r="F8" s="33"/>
      <c r="G8" s="33"/>
      <c r="H8" s="33"/>
      <c r="I8" s="33"/>
    </row>
    <row r="9" spans="2:9" ht="18.75">
      <c r="B9" s="33">
        <v>1</v>
      </c>
      <c r="C9" s="34" t="s">
        <v>71</v>
      </c>
      <c r="D9" s="35"/>
      <c r="E9" s="35"/>
      <c r="F9" s="33"/>
      <c r="G9" s="33"/>
      <c r="H9" s="33"/>
      <c r="I9" s="33"/>
    </row>
    <row r="10" spans="2:9" ht="18.75">
      <c r="B10" s="33">
        <v>2</v>
      </c>
      <c r="C10" s="34" t="s">
        <v>72</v>
      </c>
      <c r="D10" s="35"/>
      <c r="E10" s="35"/>
      <c r="F10" s="33"/>
      <c r="G10" s="33"/>
      <c r="H10" s="33"/>
      <c r="I10" s="33"/>
    </row>
    <row r="11" spans="2:9" ht="18.75">
      <c r="B11" s="33">
        <v>3</v>
      </c>
      <c r="C11" s="34" t="s">
        <v>73</v>
      </c>
      <c r="D11" s="35"/>
      <c r="E11" s="35"/>
      <c r="F11" s="33"/>
      <c r="G11" s="33"/>
      <c r="H11" s="33"/>
      <c r="I11" s="33"/>
    </row>
    <row r="12" spans="2:9" ht="18.75">
      <c r="B12" s="33">
        <v>4</v>
      </c>
      <c r="C12" s="34" t="s">
        <v>74</v>
      </c>
      <c r="D12" s="35"/>
      <c r="E12" s="35"/>
      <c r="F12" s="33"/>
      <c r="G12" s="33"/>
      <c r="H12" s="33"/>
      <c r="I12" s="33"/>
    </row>
    <row r="13" spans="2:9" ht="18.75">
      <c r="B13" s="33">
        <v>5</v>
      </c>
      <c r="C13" s="34" t="s">
        <v>75</v>
      </c>
      <c r="D13" s="35"/>
      <c r="E13" s="35"/>
      <c r="F13" s="33"/>
      <c r="G13" s="33"/>
      <c r="H13" s="33"/>
      <c r="I13" s="33"/>
    </row>
    <row r="14" spans="2:9" ht="18.75">
      <c r="B14" s="33">
        <v>6</v>
      </c>
      <c r="C14" s="34" t="s">
        <v>76</v>
      </c>
      <c r="D14" s="35"/>
      <c r="E14" s="35"/>
      <c r="F14" s="33"/>
      <c r="G14" s="33"/>
      <c r="H14" s="33"/>
      <c r="I14" s="33"/>
    </row>
    <row r="15" spans="2:9" ht="18.75">
      <c r="B15" s="33">
        <v>7</v>
      </c>
      <c r="C15" s="34" t="s">
        <v>79</v>
      </c>
      <c r="D15" s="35"/>
      <c r="E15" s="35"/>
      <c r="F15" s="33"/>
      <c r="G15" s="33"/>
      <c r="H15" s="33"/>
      <c r="I15" s="33"/>
    </row>
    <row r="16" spans="2:9" ht="15.75">
      <c r="B16" s="33"/>
      <c r="C16" s="33"/>
      <c r="D16" s="33"/>
      <c r="E16" s="33"/>
      <c r="F16" s="33"/>
      <c r="G16" s="33"/>
      <c r="H16" s="33"/>
      <c r="I16" s="33"/>
    </row>
    <row r="17" spans="2:9" ht="15.75">
      <c r="B17" s="33"/>
      <c r="C17" s="33"/>
      <c r="D17" s="33"/>
      <c r="E17" s="33"/>
      <c r="F17" s="33"/>
      <c r="G17" s="33"/>
      <c r="H17" s="33"/>
      <c r="I17" s="33"/>
    </row>
    <row r="18" spans="2:9" ht="15.75">
      <c r="B18" s="33"/>
      <c r="C18" s="33"/>
      <c r="D18" s="33"/>
      <c r="E18" s="33"/>
      <c r="F18" s="33"/>
      <c r="G18" s="33"/>
      <c r="H18" s="33"/>
      <c r="I18" s="33"/>
    </row>
    <row r="19" spans="2:9" ht="15.75">
      <c r="B19" s="33"/>
      <c r="C19" s="33"/>
      <c r="D19" s="33"/>
      <c r="E19" s="33"/>
      <c r="F19" s="33"/>
      <c r="G19" s="33"/>
      <c r="H19" s="33"/>
      <c r="I19" s="33"/>
    </row>
    <row r="20" spans="2:9" ht="15.75">
      <c r="B20" s="33"/>
      <c r="C20" s="33"/>
      <c r="D20" s="33"/>
      <c r="E20" s="33"/>
      <c r="F20" s="33"/>
      <c r="G20" s="33"/>
      <c r="H20" s="33"/>
      <c r="I20" s="33"/>
    </row>
    <row r="21" spans="2:9" ht="15.75">
      <c r="B21" s="33"/>
      <c r="C21" s="33"/>
      <c r="D21" s="33"/>
      <c r="E21" s="33"/>
      <c r="F21" s="33"/>
      <c r="G21" s="33"/>
      <c r="H21" s="33"/>
      <c r="I21" s="33"/>
    </row>
    <row r="22" spans="2:9" ht="15.75">
      <c r="B22" s="33"/>
      <c r="C22" s="33"/>
      <c r="D22" s="33"/>
      <c r="E22" s="33"/>
      <c r="F22" s="33"/>
      <c r="G22" s="33"/>
      <c r="H22" s="33"/>
      <c r="I22" s="33"/>
    </row>
    <row r="23" spans="2:9" ht="15.75">
      <c r="B23" s="33"/>
      <c r="C23" s="33"/>
      <c r="D23" s="33"/>
      <c r="E23" s="33"/>
      <c r="F23" s="33"/>
      <c r="G23" s="33"/>
      <c r="H23" s="33"/>
      <c r="I23" s="33"/>
    </row>
    <row r="24" spans="2:9" ht="15.75">
      <c r="B24" s="33"/>
      <c r="C24" s="33"/>
      <c r="D24" s="33"/>
      <c r="E24" s="33"/>
      <c r="F24" s="33"/>
      <c r="G24" s="33"/>
      <c r="H24" s="33"/>
      <c r="I24" s="33"/>
    </row>
    <row r="25" spans="2:9" ht="15.75">
      <c r="B25" s="33"/>
      <c r="C25" s="33"/>
      <c r="D25" s="33"/>
      <c r="E25" s="33"/>
      <c r="F25" s="33"/>
      <c r="G25" s="33"/>
      <c r="H25" s="33"/>
      <c r="I25" s="33"/>
    </row>
    <row r="26" spans="2:9" ht="15.75">
      <c r="B26" s="33"/>
      <c r="C26" s="33"/>
      <c r="D26" s="33"/>
      <c r="E26" s="33"/>
      <c r="F26" s="33"/>
      <c r="G26" s="33"/>
      <c r="H26" s="33"/>
      <c r="I26" s="33"/>
    </row>
    <row r="27" spans="2:9" ht="15.75">
      <c r="B27" s="33"/>
      <c r="C27" s="33"/>
      <c r="D27" s="33"/>
      <c r="E27" s="33"/>
      <c r="F27" s="33"/>
      <c r="G27" s="33"/>
      <c r="H27" s="33"/>
      <c r="I27" s="33"/>
    </row>
    <row r="28" spans="2:9" ht="15.75">
      <c r="B28" s="33"/>
      <c r="C28" s="33"/>
      <c r="D28" s="33"/>
      <c r="E28" s="33"/>
      <c r="F28" s="33"/>
      <c r="G28" s="33"/>
      <c r="H28" s="33"/>
      <c r="I28" s="33"/>
    </row>
    <row r="29" spans="2:9" ht="15.75">
      <c r="B29" s="33"/>
      <c r="C29" s="33"/>
      <c r="D29" s="33"/>
      <c r="E29" s="33"/>
      <c r="F29" s="33"/>
      <c r="G29" s="33"/>
      <c r="H29" s="33"/>
      <c r="I29" s="33"/>
    </row>
    <row r="30" spans="2:9" ht="15.75">
      <c r="B30" s="33"/>
      <c r="C30" s="33"/>
      <c r="D30" s="33"/>
      <c r="E30" s="33"/>
      <c r="F30" s="33"/>
      <c r="G30" s="33"/>
      <c r="H30" s="33"/>
      <c r="I30" s="33"/>
    </row>
    <row r="31" spans="2:9" ht="15.75">
      <c r="B31" s="33"/>
      <c r="C31" s="33"/>
      <c r="D31" s="33"/>
      <c r="E31" s="33"/>
      <c r="F31" s="33"/>
      <c r="G31" s="33"/>
      <c r="H31" s="33"/>
      <c r="I31" s="33"/>
    </row>
    <row r="32" spans="2:9" ht="15.75">
      <c r="B32" s="33"/>
      <c r="C32" s="33"/>
      <c r="D32" s="33"/>
      <c r="E32" s="33"/>
      <c r="F32" s="33"/>
      <c r="G32" s="33"/>
      <c r="H32" s="33"/>
      <c r="I32" s="33"/>
    </row>
    <row r="33" spans="2:9" ht="15.75">
      <c r="B33" s="33"/>
      <c r="C33" s="33"/>
      <c r="D33" s="33"/>
      <c r="E33" s="33"/>
      <c r="F33" s="33"/>
      <c r="G33" s="33"/>
      <c r="H33" s="33"/>
      <c r="I33" s="33"/>
    </row>
    <row r="34" spans="2:9" ht="15.75">
      <c r="B34" s="33"/>
      <c r="C34" s="33"/>
      <c r="D34" s="33"/>
      <c r="E34" s="33"/>
      <c r="F34" s="33"/>
      <c r="G34" s="33"/>
      <c r="H34" s="33"/>
      <c r="I34" s="33"/>
    </row>
    <row r="35" spans="2:9" ht="15.75">
      <c r="B35" s="33"/>
      <c r="C35" s="33"/>
      <c r="D35" s="33"/>
      <c r="E35" s="33"/>
      <c r="F35" s="33"/>
      <c r="G35" s="33"/>
      <c r="H35" s="33"/>
      <c r="I35" s="33"/>
    </row>
    <row r="36" spans="2:9" ht="15.75">
      <c r="B36" s="33"/>
      <c r="C36" s="33"/>
      <c r="D36" s="33"/>
      <c r="E36" s="33"/>
      <c r="F36" s="33"/>
      <c r="G36" s="33"/>
      <c r="H36" s="33"/>
      <c r="I36" s="33"/>
    </row>
    <row r="37" spans="2:9" ht="15.75">
      <c r="B37" s="33"/>
      <c r="C37" s="33"/>
      <c r="D37" s="33"/>
      <c r="E37" s="33"/>
      <c r="F37" s="33"/>
      <c r="G37" s="33"/>
      <c r="H37" s="33"/>
      <c r="I37" s="33"/>
    </row>
    <row r="38" spans="2:9" ht="15.75">
      <c r="B38" s="33"/>
      <c r="C38" s="33"/>
      <c r="D38" s="33"/>
      <c r="E38" s="33"/>
      <c r="F38" s="33"/>
      <c r="G38" s="33"/>
      <c r="H38" s="33"/>
      <c r="I38" s="33"/>
    </row>
    <row r="39" spans="2:9" ht="15.75">
      <c r="B39" s="33"/>
      <c r="C39" s="33"/>
      <c r="D39" s="33"/>
      <c r="E39" s="33"/>
      <c r="F39" s="33"/>
      <c r="G39" s="33"/>
      <c r="H39" s="33"/>
      <c r="I39" s="33"/>
    </row>
    <row r="40" spans="2:9"/>
    <row r="41" spans="2:9"/>
    <row r="42" spans="2:9"/>
    <row r="43" spans="2:9"/>
  </sheetData>
  <hyperlinks>
    <hyperlink ref="C9" location="'1'!A1" display="Enajenación de inmuebles"/>
    <hyperlink ref="C10" location="'2'!A1" display="Retenciones periódicas"/>
    <hyperlink ref="C11" location="'3'!A1" display="Pagos provisionales"/>
    <hyperlink ref="C12" location="'4'!A1" display="Arrendamiento, o por otorgar uso o goce temporal de bienes"/>
    <hyperlink ref="C13" location="'5'!A1" display="Actividades agrícolas y ganaderas."/>
    <hyperlink ref="C14" location="'6'!A1" display="RIF"/>
    <hyperlink ref="C15" location="'7'!A1" display="Anual 2023"/>
    <hyperlink ref="E2" r:id="rId1"/>
    <hyperlink ref="E3" r:id="rId2"/>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W89"/>
  <sheetViews>
    <sheetView showGridLines="0" tabSelected="1" topLeftCell="B1" zoomScale="90" zoomScaleNormal="90" workbookViewId="0">
      <selection activeCell="J16" sqref="J16"/>
    </sheetView>
  </sheetViews>
  <sheetFormatPr baseColWidth="10" defaultRowHeight="15"/>
  <cols>
    <col min="1" max="1" width="0.42578125" customWidth="1"/>
    <col min="2" max="2" width="5.7109375" customWidth="1"/>
    <col min="3" max="3" width="39.28515625" customWidth="1"/>
    <col min="4" max="4" width="24.5703125" customWidth="1"/>
    <col min="5" max="5" width="13.85546875" bestFit="1" customWidth="1"/>
    <col min="6" max="6" width="27.85546875" customWidth="1"/>
    <col min="7" max="7" width="9.42578125" customWidth="1"/>
    <col min="8" max="8" width="16.85546875" customWidth="1"/>
    <col min="9" max="9" width="14.140625" customWidth="1"/>
    <col min="10" max="10" width="18.7109375" customWidth="1"/>
    <col min="11" max="11" width="1" customWidth="1"/>
    <col min="12" max="12" width="19" customWidth="1"/>
    <col min="13" max="13" width="18" customWidth="1"/>
    <col min="15" max="15" width="3.42578125" customWidth="1"/>
  </cols>
  <sheetData>
    <row r="3" spans="3:13" ht="28.5">
      <c r="E3" s="286">
        <f>365/12</f>
        <v>30.416666666666668</v>
      </c>
      <c r="F3" s="179" t="s">
        <v>203</v>
      </c>
      <c r="G3" s="179"/>
      <c r="H3" s="179"/>
      <c r="I3" s="179"/>
      <c r="J3" s="179"/>
      <c r="K3" s="179"/>
      <c r="L3" s="179"/>
    </row>
    <row r="5" spans="3:13">
      <c r="F5" s="180" t="s">
        <v>204</v>
      </c>
      <c r="I5" s="180" t="s">
        <v>206</v>
      </c>
      <c r="J5" s="180"/>
    </row>
    <row r="6" spans="3:13" ht="18.75">
      <c r="C6" s="132" t="s">
        <v>183</v>
      </c>
      <c r="D6" s="132"/>
      <c r="F6" s="180" t="s">
        <v>205</v>
      </c>
      <c r="I6" s="180" t="s">
        <v>207</v>
      </c>
      <c r="J6" s="180">
        <v>96.22</v>
      </c>
    </row>
    <row r="7" spans="3:13" ht="18.75">
      <c r="C7" s="133" t="s">
        <v>147</v>
      </c>
      <c r="D7" s="133"/>
      <c r="F7" s="182" t="s">
        <v>202</v>
      </c>
      <c r="G7" s="184">
        <v>250</v>
      </c>
      <c r="H7" s="175"/>
      <c r="I7" s="182" t="s">
        <v>208</v>
      </c>
      <c r="J7" s="238">
        <f>'EXENTOS '!J2</f>
        <v>207.44</v>
      </c>
      <c r="K7" s="175"/>
      <c r="L7" s="175"/>
      <c r="M7" s="175"/>
    </row>
    <row r="8" spans="3:13" ht="18.75">
      <c r="C8" s="134" t="s">
        <v>170</v>
      </c>
      <c r="D8" s="135">
        <f>J16</f>
        <v>7604.166666666667</v>
      </c>
      <c r="F8" s="183" t="s">
        <v>201</v>
      </c>
      <c r="G8" s="183">
        <v>15</v>
      </c>
      <c r="H8" s="176"/>
      <c r="I8" s="176"/>
      <c r="J8" s="177"/>
      <c r="K8" s="143"/>
      <c r="L8" s="143"/>
      <c r="M8" s="185"/>
    </row>
    <row r="9" spans="3:13" ht="18.75">
      <c r="C9" s="134" t="s">
        <v>171</v>
      </c>
      <c r="D9" s="136">
        <f>VLOOKUP(D8,'2'!C191:F201,1,1)</f>
        <v>6332.06</v>
      </c>
      <c r="F9" s="144" t="s">
        <v>188</v>
      </c>
      <c r="G9" s="144"/>
      <c r="H9" s="144"/>
      <c r="I9" s="144"/>
      <c r="J9" s="144"/>
      <c r="K9" s="144" t="s">
        <v>189</v>
      </c>
      <c r="L9" s="144"/>
      <c r="M9" s="144"/>
    </row>
    <row r="10" spans="3:13" ht="18.75">
      <c r="C10" s="134" t="s">
        <v>172</v>
      </c>
      <c r="D10" s="136">
        <f>D8-D9</f>
        <v>1272.1066666666666</v>
      </c>
      <c r="F10" s="145"/>
      <c r="G10" s="146"/>
      <c r="H10" s="146" t="s">
        <v>190</v>
      </c>
      <c r="I10" s="146" t="s">
        <v>191</v>
      </c>
      <c r="J10" s="147" t="s">
        <v>192</v>
      </c>
      <c r="K10" s="146"/>
      <c r="L10" s="146"/>
      <c r="M10" s="147"/>
    </row>
    <row r="11" spans="3:13" ht="18.75">
      <c r="C11" s="134" t="s">
        <v>173</v>
      </c>
      <c r="D11" s="137">
        <f>VLOOKUP(D8,'2'!C191:F201,4,1)</f>
        <v>0.10880000000000001</v>
      </c>
      <c r="F11" s="173" t="s">
        <v>193</v>
      </c>
      <c r="G11" s="174"/>
      <c r="H11" s="148">
        <f>G7*G8</f>
        <v>3750</v>
      </c>
      <c r="I11" s="243">
        <v>0</v>
      </c>
      <c r="J11" s="150">
        <f>H11</f>
        <v>3750</v>
      </c>
      <c r="K11" s="151"/>
      <c r="L11" s="151" t="s">
        <v>194</v>
      </c>
      <c r="M11" s="152">
        <v>0</v>
      </c>
    </row>
    <row r="12" spans="3:13" ht="18.75">
      <c r="C12" s="134" t="s">
        <v>174</v>
      </c>
      <c r="D12" s="136">
        <f>D10*D11</f>
        <v>138.40520533333333</v>
      </c>
      <c r="F12" s="153" t="s">
        <v>195</v>
      </c>
      <c r="G12" s="154"/>
      <c r="H12" s="155">
        <v>0</v>
      </c>
      <c r="I12" s="244">
        <v>0</v>
      </c>
      <c r="J12" s="157">
        <v>0</v>
      </c>
      <c r="K12" s="158"/>
      <c r="L12" s="186" t="s">
        <v>290</v>
      </c>
      <c r="M12" s="242">
        <f>D15</f>
        <v>251.62284098630133</v>
      </c>
    </row>
    <row r="13" spans="3:13" ht="18.75">
      <c r="C13" s="134" t="s">
        <v>175</v>
      </c>
      <c r="D13" s="134">
        <f>VLOOKUP(D8,'2'!C191:F201,3,1)</f>
        <v>371.83</v>
      </c>
      <c r="E13" s="256"/>
      <c r="F13" s="153" t="s">
        <v>196</v>
      </c>
      <c r="G13" s="154"/>
      <c r="H13" s="155"/>
      <c r="I13" s="159"/>
      <c r="J13" s="157">
        <f>H13</f>
        <v>0</v>
      </c>
      <c r="K13" s="158"/>
      <c r="L13" s="158" t="s">
        <v>259</v>
      </c>
      <c r="M13" s="160">
        <f>D18</f>
        <v>0</v>
      </c>
    </row>
    <row r="14" spans="3:13" ht="18.75">
      <c r="C14" s="138" t="s">
        <v>176</v>
      </c>
      <c r="D14" s="139">
        <f>D12+D13</f>
        <v>510.23520533333328</v>
      </c>
      <c r="F14" s="153" t="s">
        <v>197</v>
      </c>
      <c r="G14" s="154"/>
      <c r="H14" s="155"/>
      <c r="I14" s="156"/>
      <c r="J14" s="157">
        <f>H14-I14</f>
        <v>0</v>
      </c>
      <c r="K14" s="158"/>
      <c r="L14" s="158" t="s">
        <v>291</v>
      </c>
      <c r="M14" s="160">
        <f>M12-M13</f>
        <v>251.62284098630133</v>
      </c>
    </row>
    <row r="15" spans="3:13" ht="18.75">
      <c r="C15" s="138" t="s">
        <v>177</v>
      </c>
      <c r="D15" s="139">
        <f>D14/E3*15</f>
        <v>251.62284098630133</v>
      </c>
      <c r="F15" s="162"/>
      <c r="G15" s="158"/>
      <c r="H15" s="158"/>
      <c r="I15" s="163"/>
      <c r="J15" s="161"/>
      <c r="K15" s="158"/>
      <c r="L15" s="158"/>
      <c r="M15" s="161"/>
    </row>
    <row r="16" spans="3:13" ht="18.75">
      <c r="C16" s="138" t="s">
        <v>177</v>
      </c>
      <c r="D16" s="139">
        <f>D14/2</f>
        <v>255.11760266666664</v>
      </c>
      <c r="F16" s="162" t="s">
        <v>198</v>
      </c>
      <c r="G16" s="158"/>
      <c r="H16" s="158"/>
      <c r="I16" s="158"/>
      <c r="J16" s="187">
        <f>(J11+J13+J12+J14)/15*E3</f>
        <v>7604.166666666667</v>
      </c>
      <c r="K16" s="158"/>
      <c r="L16" s="158"/>
      <c r="M16" s="161"/>
    </row>
    <row r="17" spans="3:23" ht="18.75">
      <c r="C17" s="140" t="s">
        <v>178</v>
      </c>
      <c r="D17" s="140">
        <f>VLOOKUP(D8,'2'!H191:J201,3,1)</f>
        <v>0</v>
      </c>
      <c r="F17" s="164" t="s">
        <v>199</v>
      </c>
      <c r="G17" s="165"/>
      <c r="H17" s="165"/>
      <c r="I17" s="165"/>
      <c r="J17" s="166">
        <f>SUM(H11:H14)</f>
        <v>3750</v>
      </c>
      <c r="K17" s="164" t="s">
        <v>189</v>
      </c>
      <c r="L17" s="165"/>
      <c r="M17" s="167">
        <f>(M11+M12)-M13</f>
        <v>251.62284098630133</v>
      </c>
    </row>
    <row r="18" spans="3:23" ht="21">
      <c r="C18" s="140" t="s">
        <v>179</v>
      </c>
      <c r="D18" s="141">
        <f>D17/E3*15</f>
        <v>0</v>
      </c>
      <c r="F18" s="168"/>
      <c r="G18" s="168"/>
      <c r="H18" s="168"/>
      <c r="I18" s="168"/>
      <c r="J18" s="169"/>
      <c r="K18" s="240" t="s">
        <v>200</v>
      </c>
      <c r="L18" s="241"/>
      <c r="M18" s="239">
        <f>J17-M17</f>
        <v>3498.3771590136985</v>
      </c>
    </row>
    <row r="19" spans="3:23">
      <c r="C19" s="134" t="s">
        <v>180</v>
      </c>
      <c r="D19" s="136">
        <f>D15-D18</f>
        <v>251.62284098630133</v>
      </c>
    </row>
    <row r="20" spans="3:23">
      <c r="C20" s="134" t="s">
        <v>181</v>
      </c>
      <c r="D20" s="136">
        <f>D8-D19</f>
        <v>7352.5438256803654</v>
      </c>
    </row>
    <row r="21" spans="3:23">
      <c r="C21" s="142" t="s">
        <v>181</v>
      </c>
      <c r="D21" s="136" t="e">
        <f>F7*G7-D19</f>
        <v>#VALUE!</v>
      </c>
    </row>
    <row r="24" spans="3:23">
      <c r="F24" s="180" t="s">
        <v>204</v>
      </c>
      <c r="I24" s="180" t="s">
        <v>206</v>
      </c>
      <c r="J24" s="180"/>
    </row>
    <row r="25" spans="3:23">
      <c r="F25" s="180" t="s">
        <v>205</v>
      </c>
      <c r="I25" s="180" t="s">
        <v>207</v>
      </c>
      <c r="J25" s="180">
        <v>96.22</v>
      </c>
    </row>
    <row r="26" spans="3:23" ht="18.75">
      <c r="C26" s="132" t="s">
        <v>182</v>
      </c>
      <c r="D26" s="132"/>
      <c r="F26" s="182" t="s">
        <v>202</v>
      </c>
      <c r="G26" s="184">
        <v>315</v>
      </c>
      <c r="H26" s="175"/>
      <c r="I26" s="182" t="s">
        <v>208</v>
      </c>
      <c r="J26" s="238">
        <v>207.44</v>
      </c>
      <c r="K26" s="175"/>
      <c r="L26" s="175"/>
      <c r="M26" s="175"/>
    </row>
    <row r="27" spans="3:23" ht="18.75">
      <c r="C27" s="133" t="s">
        <v>147</v>
      </c>
      <c r="D27" s="133"/>
      <c r="F27" s="183" t="s">
        <v>201</v>
      </c>
      <c r="G27" s="183">
        <v>15</v>
      </c>
      <c r="H27" s="176"/>
      <c r="I27" s="176"/>
      <c r="J27" s="177"/>
      <c r="K27" s="143"/>
      <c r="L27" s="143"/>
      <c r="M27" s="185"/>
    </row>
    <row r="28" spans="3:23" ht="18.75">
      <c r="C28" s="134" t="s">
        <v>258</v>
      </c>
      <c r="D28" s="135">
        <f>J35</f>
        <v>4725</v>
      </c>
      <c r="F28" s="144" t="s">
        <v>188</v>
      </c>
      <c r="G28" s="144"/>
      <c r="H28" s="144"/>
      <c r="I28" s="144"/>
      <c r="J28" s="144"/>
      <c r="K28" s="144" t="s">
        <v>189</v>
      </c>
      <c r="L28" s="144"/>
      <c r="M28" s="144"/>
      <c r="P28" s="253" t="s">
        <v>263</v>
      </c>
      <c r="Q28" s="253"/>
      <c r="R28" s="253"/>
      <c r="S28" s="253"/>
      <c r="T28" s="253"/>
      <c r="U28" s="253"/>
      <c r="V28" s="253"/>
      <c r="W28" s="253"/>
    </row>
    <row r="29" spans="3:23" ht="18.75">
      <c r="C29" s="134" t="s">
        <v>171</v>
      </c>
      <c r="D29" s="136">
        <f>VLOOKUP(D28,'2'!C146:F156,1,1)</f>
        <v>3124.36</v>
      </c>
      <c r="F29" s="145"/>
      <c r="G29" s="146"/>
      <c r="H29" s="146" t="s">
        <v>190</v>
      </c>
      <c r="I29" s="146" t="s">
        <v>191</v>
      </c>
      <c r="J29" s="147" t="s">
        <v>192</v>
      </c>
      <c r="K29" s="146"/>
      <c r="L29" s="146"/>
      <c r="M29" s="147"/>
      <c r="P29" s="253"/>
      <c r="Q29" s="253"/>
      <c r="R29" s="253"/>
      <c r="S29" s="253"/>
      <c r="T29" s="253"/>
      <c r="U29" s="253"/>
      <c r="V29" s="253"/>
      <c r="W29" s="253"/>
    </row>
    <row r="30" spans="3:23" ht="18.75">
      <c r="C30" s="134" t="s">
        <v>172</v>
      </c>
      <c r="D30" s="136">
        <f>D28-D29</f>
        <v>1600.6399999999999</v>
      </c>
      <c r="F30" s="173" t="s">
        <v>193</v>
      </c>
      <c r="G30" s="174"/>
      <c r="H30" s="148">
        <f>G26*G27</f>
        <v>4725</v>
      </c>
      <c r="I30" s="149">
        <v>0</v>
      </c>
      <c r="J30" s="150">
        <f>H30</f>
        <v>4725</v>
      </c>
      <c r="K30" s="151"/>
      <c r="L30" s="151" t="s">
        <v>194</v>
      </c>
      <c r="M30" s="152">
        <v>0</v>
      </c>
      <c r="P30" s="253"/>
      <c r="Q30" s="253"/>
      <c r="R30" s="253"/>
      <c r="S30" s="253"/>
      <c r="T30" s="253"/>
      <c r="U30" s="253"/>
      <c r="V30" s="253"/>
      <c r="W30" s="253"/>
    </row>
    <row r="31" spans="3:23" ht="18.75">
      <c r="C31" s="134" t="s">
        <v>173</v>
      </c>
      <c r="D31" s="137">
        <f>VLOOKUP(D28,'2'!C146:F156,4,1)</f>
        <v>0.10880000000000001</v>
      </c>
      <c r="F31" s="153" t="s">
        <v>195</v>
      </c>
      <c r="G31" s="154"/>
      <c r="H31" s="155">
        <v>0</v>
      </c>
      <c r="I31" s="156">
        <v>0</v>
      </c>
      <c r="J31" s="157">
        <f>H31-I31</f>
        <v>0</v>
      </c>
      <c r="K31" s="158"/>
      <c r="L31" s="186" t="s">
        <v>260</v>
      </c>
      <c r="M31" s="242">
        <f>D34</f>
        <v>357.59963199999999</v>
      </c>
      <c r="P31" s="253"/>
      <c r="Q31" s="253"/>
      <c r="R31" s="253"/>
      <c r="S31" s="253"/>
      <c r="T31" s="253"/>
      <c r="U31" s="253"/>
      <c r="V31" s="253"/>
      <c r="W31" s="253"/>
    </row>
    <row r="32" spans="3:23" ht="18.75">
      <c r="C32" s="134" t="s">
        <v>174</v>
      </c>
      <c r="D32" s="136">
        <f>D30*D31</f>
        <v>174.149632</v>
      </c>
      <c r="F32" s="153" t="s">
        <v>196</v>
      </c>
      <c r="G32" s="154"/>
      <c r="H32" s="155"/>
      <c r="I32" s="159"/>
      <c r="J32" s="157">
        <f>H32</f>
        <v>0</v>
      </c>
      <c r="K32" s="158"/>
      <c r="L32" s="251" t="s">
        <v>259</v>
      </c>
      <c r="M32" s="252">
        <f>D35</f>
        <v>0</v>
      </c>
      <c r="P32" s="253"/>
      <c r="Q32" s="253"/>
      <c r="R32" s="253"/>
      <c r="S32" s="253"/>
      <c r="T32" s="253"/>
      <c r="U32" s="253"/>
      <c r="V32" s="253"/>
      <c r="W32" s="253"/>
    </row>
    <row r="33" spans="3:23" ht="18.75">
      <c r="C33" s="134" t="s">
        <v>175</v>
      </c>
      <c r="D33" s="134">
        <f>VLOOKUP(D28,'2'!C146:F156,3,1)</f>
        <v>183.45</v>
      </c>
      <c r="F33" s="153" t="s">
        <v>197</v>
      </c>
      <c r="G33" s="154"/>
      <c r="H33" s="155"/>
      <c r="I33" s="156"/>
      <c r="J33" s="157">
        <f>H33-I33</f>
        <v>0</v>
      </c>
      <c r="K33" s="158"/>
      <c r="L33" s="158" t="s">
        <v>261</v>
      </c>
      <c r="M33" s="160">
        <f>M31-M32</f>
        <v>357.59963199999999</v>
      </c>
      <c r="P33" s="253"/>
      <c r="Q33" s="253"/>
      <c r="R33" s="253"/>
      <c r="S33" s="253"/>
      <c r="T33" s="253"/>
      <c r="U33" s="253"/>
      <c r="V33" s="253"/>
      <c r="W33" s="253"/>
    </row>
    <row r="34" spans="3:23" ht="18.75">
      <c r="C34" s="138" t="s">
        <v>177</v>
      </c>
      <c r="D34" s="139">
        <f>D32+D33</f>
        <v>357.59963199999999</v>
      </c>
      <c r="F34" s="162"/>
      <c r="G34" s="158"/>
      <c r="H34" s="158"/>
      <c r="I34" s="163"/>
      <c r="J34" s="161"/>
      <c r="K34" s="158"/>
      <c r="L34" s="158"/>
      <c r="M34" s="161"/>
      <c r="P34" s="253"/>
      <c r="Q34" s="253"/>
      <c r="R34" s="253"/>
      <c r="S34" s="253"/>
      <c r="T34" s="253"/>
      <c r="U34" s="253"/>
      <c r="V34" s="253"/>
      <c r="W34" s="253"/>
    </row>
    <row r="35" spans="3:23" ht="18.75">
      <c r="C35" s="245" t="s">
        <v>178</v>
      </c>
      <c r="D35" s="245">
        <f>VLOOKUP(D28,'2'!H146:J156,3,1)</f>
        <v>0</v>
      </c>
      <c r="F35" s="162" t="s">
        <v>198</v>
      </c>
      <c r="G35" s="158"/>
      <c r="H35" s="158"/>
      <c r="I35" s="158"/>
      <c r="J35" s="187">
        <f>(J30+J32+J31+J33)</f>
        <v>4725</v>
      </c>
      <c r="K35" s="158"/>
      <c r="L35" s="158"/>
      <c r="M35" s="161"/>
      <c r="P35" s="253"/>
      <c r="Q35" s="253"/>
      <c r="R35" s="253"/>
      <c r="S35" s="253"/>
      <c r="T35" s="253"/>
      <c r="U35" s="253"/>
      <c r="V35" s="253"/>
      <c r="W35" s="253"/>
    </row>
    <row r="36" spans="3:23" ht="18.75">
      <c r="C36" s="246"/>
      <c r="D36" s="247"/>
      <c r="F36" s="164" t="s">
        <v>199</v>
      </c>
      <c r="G36" s="165"/>
      <c r="H36" s="165"/>
      <c r="I36" s="165"/>
      <c r="J36" s="166">
        <f>SUM(H30:H33)</f>
        <v>4725</v>
      </c>
      <c r="K36" s="249" t="s">
        <v>262</v>
      </c>
      <c r="L36" s="250"/>
      <c r="M36" s="167">
        <f>(M30+M31)-M32</f>
        <v>357.59963199999999</v>
      </c>
      <c r="P36" s="253"/>
      <c r="Q36" s="253"/>
      <c r="R36" s="253"/>
      <c r="S36" s="253"/>
      <c r="T36" s="253"/>
      <c r="U36" s="253"/>
      <c r="V36" s="253"/>
      <c r="W36" s="253"/>
    </row>
    <row r="37" spans="3:23" ht="18.75">
      <c r="C37" s="246"/>
      <c r="D37" s="247"/>
      <c r="F37" s="168"/>
      <c r="G37" s="168"/>
      <c r="H37" s="168"/>
      <c r="I37" s="168"/>
      <c r="J37" s="169"/>
      <c r="K37" s="170" t="s">
        <v>200</v>
      </c>
      <c r="L37" s="171"/>
      <c r="M37" s="172">
        <f>J36-M36</f>
        <v>4367.4003679999996</v>
      </c>
    </row>
    <row r="38" spans="3:23">
      <c r="C38" s="248"/>
      <c r="D38" s="247"/>
    </row>
    <row r="42" spans="3:23">
      <c r="F42" s="180" t="s">
        <v>204</v>
      </c>
      <c r="I42" s="180" t="s">
        <v>206</v>
      </c>
      <c r="J42" s="180"/>
    </row>
    <row r="43" spans="3:23">
      <c r="F43" s="180" t="s">
        <v>205</v>
      </c>
      <c r="I43" s="180" t="s">
        <v>207</v>
      </c>
      <c r="J43" s="180">
        <v>96.22</v>
      </c>
    </row>
    <row r="44" spans="3:23" ht="18.75">
      <c r="F44" s="182" t="s">
        <v>202</v>
      </c>
      <c r="G44" s="184">
        <v>300</v>
      </c>
      <c r="H44" s="175"/>
      <c r="I44" s="182" t="s">
        <v>208</v>
      </c>
      <c r="J44" s="237">
        <f>J7</f>
        <v>207.44</v>
      </c>
      <c r="K44" s="175"/>
      <c r="L44" s="175"/>
      <c r="M44" s="175"/>
    </row>
    <row r="45" spans="3:23" ht="18.75">
      <c r="C45" s="132" t="s">
        <v>184</v>
      </c>
      <c r="D45" s="132"/>
      <c r="F45" s="183" t="s">
        <v>201</v>
      </c>
      <c r="G45" s="183">
        <v>10</v>
      </c>
      <c r="H45" s="176"/>
      <c r="I45" s="176"/>
      <c r="J45" s="177"/>
      <c r="K45" s="143"/>
      <c r="L45" s="143"/>
      <c r="M45" s="185"/>
      <c r="P45" s="257" t="s">
        <v>264</v>
      </c>
      <c r="Q45" s="257"/>
      <c r="R45" s="257"/>
      <c r="S45" s="257"/>
      <c r="T45" s="257"/>
      <c r="U45" s="257"/>
      <c r="V45" s="257"/>
      <c r="W45" s="257"/>
    </row>
    <row r="46" spans="3:23" ht="18.75">
      <c r="C46" s="133" t="s">
        <v>147</v>
      </c>
      <c r="D46" s="133"/>
      <c r="F46" s="144" t="s">
        <v>188</v>
      </c>
      <c r="G46" s="144"/>
      <c r="H46" s="144"/>
      <c r="I46" s="144"/>
      <c r="J46" s="144"/>
      <c r="K46" s="144" t="s">
        <v>189</v>
      </c>
      <c r="L46" s="144"/>
      <c r="M46" s="144"/>
      <c r="P46" s="257"/>
      <c r="Q46" s="257"/>
      <c r="R46" s="257"/>
      <c r="S46" s="257"/>
      <c r="T46" s="257"/>
      <c r="U46" s="257"/>
      <c r="V46" s="257"/>
      <c r="W46" s="257"/>
    </row>
    <row r="47" spans="3:23" ht="18.75">
      <c r="C47" s="134" t="s">
        <v>265</v>
      </c>
      <c r="D47" s="135">
        <f>J53</f>
        <v>3000</v>
      </c>
      <c r="F47" s="145"/>
      <c r="G47" s="146"/>
      <c r="H47" s="146" t="s">
        <v>190</v>
      </c>
      <c r="I47" s="146" t="s">
        <v>191</v>
      </c>
      <c r="J47" s="147" t="s">
        <v>192</v>
      </c>
      <c r="K47" s="146"/>
      <c r="L47" s="146"/>
      <c r="M47" s="147"/>
      <c r="P47" s="257"/>
      <c r="Q47" s="257"/>
      <c r="R47" s="257"/>
      <c r="S47" s="257"/>
      <c r="T47" s="257"/>
      <c r="U47" s="257"/>
      <c r="V47" s="257"/>
      <c r="W47" s="257"/>
    </row>
    <row r="48" spans="3:23" ht="18.75">
      <c r="C48" s="134" t="s">
        <v>171</v>
      </c>
      <c r="D48" s="136">
        <f>VLOOKUP(D47,'2'!C101:F111,1,1)</f>
        <v>2082.9100000000003</v>
      </c>
      <c r="F48" s="173" t="s">
        <v>193</v>
      </c>
      <c r="G48" s="174"/>
      <c r="H48" s="148">
        <f>G44*G45</f>
        <v>3000</v>
      </c>
      <c r="I48" s="149">
        <v>0</v>
      </c>
      <c r="J48" s="150">
        <f>H48</f>
        <v>3000</v>
      </c>
      <c r="K48" s="151"/>
      <c r="L48" s="151" t="s">
        <v>194</v>
      </c>
      <c r="M48" s="152">
        <v>0</v>
      </c>
      <c r="P48" s="257"/>
      <c r="Q48" s="257"/>
      <c r="R48" s="257"/>
      <c r="S48" s="257"/>
      <c r="T48" s="257"/>
      <c r="U48" s="257"/>
      <c r="V48" s="257"/>
      <c r="W48" s="257"/>
    </row>
    <row r="49" spans="3:23" ht="18.75">
      <c r="C49" s="134" t="s">
        <v>172</v>
      </c>
      <c r="D49" s="136">
        <f>D47-D48</f>
        <v>917.08999999999969</v>
      </c>
      <c r="F49" s="153" t="s">
        <v>195</v>
      </c>
      <c r="G49" s="154"/>
      <c r="H49" s="155">
        <v>0</v>
      </c>
      <c r="I49" s="156">
        <v>0</v>
      </c>
      <c r="J49" s="157">
        <f>H49-I49</f>
        <v>0</v>
      </c>
      <c r="K49" s="158"/>
      <c r="L49" s="186" t="s">
        <v>260</v>
      </c>
      <c r="M49" s="242">
        <f>D53</f>
        <v>222.07939199999998</v>
      </c>
      <c r="P49" s="257"/>
      <c r="Q49" s="257"/>
      <c r="R49" s="257"/>
      <c r="S49" s="257"/>
      <c r="T49" s="257"/>
      <c r="U49" s="257"/>
      <c r="V49" s="257"/>
      <c r="W49" s="257"/>
    </row>
    <row r="50" spans="3:23" ht="18.75">
      <c r="C50" s="134" t="s">
        <v>173</v>
      </c>
      <c r="D50" s="137">
        <f>VLOOKUP(D47,'2'!C101:F111,4,1)</f>
        <v>0.10880000000000001</v>
      </c>
      <c r="F50" s="153" t="s">
        <v>196</v>
      </c>
      <c r="G50" s="154"/>
      <c r="H50" s="155">
        <v>0</v>
      </c>
      <c r="I50" s="156">
        <v>0</v>
      </c>
      <c r="J50" s="157">
        <f>H50</f>
        <v>0</v>
      </c>
      <c r="K50" s="158"/>
      <c r="L50" s="158" t="s">
        <v>158</v>
      </c>
      <c r="M50" s="160">
        <f>D54</f>
        <v>0</v>
      </c>
      <c r="P50" s="257"/>
      <c r="Q50" s="257"/>
      <c r="R50" s="257"/>
      <c r="S50" s="257"/>
      <c r="T50" s="257"/>
      <c r="U50" s="257"/>
      <c r="V50" s="257"/>
      <c r="W50" s="257"/>
    </row>
    <row r="51" spans="3:23" ht="18.75">
      <c r="C51" s="134" t="s">
        <v>174</v>
      </c>
      <c r="D51" s="136">
        <f>D49*D50</f>
        <v>99.779391999999973</v>
      </c>
      <c r="F51" s="153" t="s">
        <v>197</v>
      </c>
      <c r="G51" s="154"/>
      <c r="H51" s="155">
        <v>0</v>
      </c>
      <c r="I51" s="156">
        <v>0</v>
      </c>
      <c r="J51" s="157">
        <f>H51-I51</f>
        <v>0</v>
      </c>
      <c r="K51" s="158"/>
      <c r="L51" s="158" t="s">
        <v>273</v>
      </c>
      <c r="M51" s="160">
        <f>M49-M50</f>
        <v>222.07939199999998</v>
      </c>
    </row>
    <row r="52" spans="3:23" ht="18.75">
      <c r="C52" s="134" t="s">
        <v>175</v>
      </c>
      <c r="D52" s="134">
        <f>VLOOKUP(D47,'2'!C101:F111,3,1)</f>
        <v>122.3</v>
      </c>
      <c r="F52" s="162"/>
      <c r="G52" s="158"/>
      <c r="H52" s="158"/>
      <c r="I52" s="163"/>
      <c r="J52" s="161"/>
      <c r="K52" s="158"/>
      <c r="L52" s="158"/>
      <c r="M52" s="161"/>
    </row>
    <row r="53" spans="3:23" ht="18.75">
      <c r="C53" s="138" t="s">
        <v>266</v>
      </c>
      <c r="D53" s="139">
        <f>D51+D52</f>
        <v>222.07939199999998</v>
      </c>
      <c r="F53" s="162" t="s">
        <v>198</v>
      </c>
      <c r="G53" s="158"/>
      <c r="H53" s="158"/>
      <c r="I53" s="158"/>
      <c r="J53" s="187">
        <f>(J48+J50+J49+J51)</f>
        <v>3000</v>
      </c>
      <c r="K53" s="158"/>
      <c r="L53" s="158"/>
      <c r="M53" s="161"/>
    </row>
    <row r="54" spans="3:23" ht="18.75">
      <c r="C54" s="140" t="s">
        <v>178</v>
      </c>
      <c r="D54" s="140">
        <f>VLOOKUP(D47,'2'!H101:J111,3,1)</f>
        <v>0</v>
      </c>
      <c r="F54" s="164" t="s">
        <v>199</v>
      </c>
      <c r="G54" s="165"/>
      <c r="H54" s="165"/>
      <c r="I54" s="165"/>
      <c r="J54" s="166">
        <f>SUM(H48:H51)</f>
        <v>3000</v>
      </c>
      <c r="K54" s="164" t="s">
        <v>262</v>
      </c>
      <c r="L54" s="165"/>
      <c r="M54" s="167">
        <f>(M48+M49)-M50</f>
        <v>222.07939199999998</v>
      </c>
    </row>
    <row r="55" spans="3:23" ht="18.75">
      <c r="C55" s="245"/>
      <c r="D55" s="254"/>
      <c r="F55" s="168"/>
      <c r="G55" s="168"/>
      <c r="H55" s="168"/>
      <c r="I55" s="168"/>
      <c r="J55" s="169"/>
      <c r="K55" s="170" t="s">
        <v>200</v>
      </c>
      <c r="L55" s="171"/>
      <c r="M55" s="172">
        <f>J54-M54</f>
        <v>2777.9206079999999</v>
      </c>
    </row>
    <row r="56" spans="3:23">
      <c r="C56" s="217"/>
      <c r="D56" s="255"/>
    </row>
    <row r="57" spans="3:23">
      <c r="C57" s="217"/>
      <c r="D57" s="255"/>
    </row>
    <row r="58" spans="3:23">
      <c r="C58" s="217"/>
      <c r="D58" s="255"/>
    </row>
    <row r="59" spans="3:23">
      <c r="F59" s="180" t="s">
        <v>204</v>
      </c>
      <c r="I59" s="180" t="s">
        <v>206</v>
      </c>
      <c r="J59" s="180"/>
    </row>
    <row r="60" spans="3:23">
      <c r="F60" s="180" t="s">
        <v>205</v>
      </c>
      <c r="I60" s="180" t="s">
        <v>207</v>
      </c>
      <c r="J60" s="180">
        <v>96.22</v>
      </c>
    </row>
    <row r="61" spans="3:23" ht="18.75">
      <c r="C61" s="132" t="s">
        <v>185</v>
      </c>
      <c r="D61" s="132"/>
      <c r="F61" s="182" t="s">
        <v>202</v>
      </c>
      <c r="G61" s="184">
        <v>500</v>
      </c>
      <c r="H61" s="175"/>
      <c r="I61" s="182" t="s">
        <v>208</v>
      </c>
      <c r="J61" s="175"/>
      <c r="K61" s="175"/>
      <c r="L61" s="175"/>
      <c r="M61" s="175"/>
    </row>
    <row r="62" spans="3:23" ht="18.75">
      <c r="C62" s="133" t="s">
        <v>147</v>
      </c>
      <c r="D62" s="133"/>
      <c r="F62" s="183" t="s">
        <v>201</v>
      </c>
      <c r="G62" s="183">
        <v>7</v>
      </c>
      <c r="H62" s="176"/>
      <c r="I62" s="176"/>
      <c r="J62" s="177"/>
      <c r="K62" s="143"/>
      <c r="L62" s="143"/>
      <c r="M62" s="185"/>
    </row>
    <row r="63" spans="3:23" ht="18.75">
      <c r="C63" s="134" t="s">
        <v>267</v>
      </c>
      <c r="D63" s="135">
        <f>J70</f>
        <v>3500</v>
      </c>
      <c r="F63" s="144" t="s">
        <v>188</v>
      </c>
      <c r="G63" s="144"/>
      <c r="H63" s="144"/>
      <c r="I63" s="144"/>
      <c r="J63" s="144"/>
      <c r="K63" s="144" t="s">
        <v>189</v>
      </c>
      <c r="L63" s="144"/>
      <c r="M63" s="144"/>
    </row>
    <row r="64" spans="3:23" ht="18.75">
      <c r="C64" s="134" t="s">
        <v>171</v>
      </c>
      <c r="D64" s="136">
        <f>VLOOKUP(D63,'2'!C51:F61,1,1)</f>
        <v>2978.65</v>
      </c>
      <c r="F64" s="145"/>
      <c r="G64" s="146"/>
      <c r="H64" s="146" t="s">
        <v>190</v>
      </c>
      <c r="I64" s="146" t="s">
        <v>191</v>
      </c>
      <c r="J64" s="147" t="s">
        <v>192</v>
      </c>
      <c r="K64" s="146"/>
      <c r="L64" s="146"/>
      <c r="M64" s="147"/>
    </row>
    <row r="65" spans="3:13" ht="18.75">
      <c r="C65" s="134" t="s">
        <v>172</v>
      </c>
      <c r="D65" s="136">
        <f>D63-D64</f>
        <v>521.34999999999991</v>
      </c>
      <c r="F65" s="173" t="s">
        <v>193</v>
      </c>
      <c r="G65" s="174"/>
      <c r="H65" s="148">
        <f>G61*G62</f>
        <v>3500</v>
      </c>
      <c r="I65" s="149">
        <v>0</v>
      </c>
      <c r="J65" s="150">
        <f>H65</f>
        <v>3500</v>
      </c>
      <c r="K65" s="151"/>
      <c r="L65" s="151" t="s">
        <v>194</v>
      </c>
      <c r="M65" s="152">
        <v>0</v>
      </c>
    </row>
    <row r="66" spans="3:13" ht="18.75">
      <c r="C66" s="134" t="s">
        <v>173</v>
      </c>
      <c r="D66" s="137">
        <f>VLOOKUP(D63,'2'!C51:F61,4,1)</f>
        <v>0.17920000000000003</v>
      </c>
      <c r="F66" s="153" t="s">
        <v>195</v>
      </c>
      <c r="G66" s="154"/>
      <c r="H66" s="155"/>
      <c r="I66" s="156"/>
      <c r="J66" s="157">
        <f>H66-I66</f>
        <v>0</v>
      </c>
      <c r="K66" s="158"/>
      <c r="L66" s="186" t="s">
        <v>260</v>
      </c>
      <c r="M66" s="242">
        <f>D69</f>
        <v>365.79592000000002</v>
      </c>
    </row>
    <row r="67" spans="3:13" ht="18.75">
      <c r="C67" s="134" t="s">
        <v>174</v>
      </c>
      <c r="D67" s="136">
        <f>D65*D66</f>
        <v>93.425919999999991</v>
      </c>
      <c r="F67" s="153" t="s">
        <v>196</v>
      </c>
      <c r="G67" s="154"/>
      <c r="H67" s="155"/>
      <c r="I67" s="159"/>
      <c r="J67" s="157">
        <f>H67</f>
        <v>0</v>
      </c>
      <c r="K67" s="158"/>
      <c r="L67" s="158" t="s">
        <v>158</v>
      </c>
      <c r="M67" s="160">
        <f>D70</f>
        <v>0</v>
      </c>
    </row>
    <row r="68" spans="3:13" ht="18.75">
      <c r="C68" s="134" t="s">
        <v>175</v>
      </c>
      <c r="D68" s="134">
        <f>VLOOKUP(D63,'2'!C51:F61,3,1)</f>
        <v>272.37</v>
      </c>
      <c r="F68" s="153" t="s">
        <v>197</v>
      </c>
      <c r="G68" s="154"/>
      <c r="H68" s="155"/>
      <c r="I68" s="156"/>
      <c r="J68" s="157">
        <f>H68-I68</f>
        <v>0</v>
      </c>
      <c r="K68" s="158"/>
      <c r="L68" s="158" t="s">
        <v>268</v>
      </c>
      <c r="M68" s="160">
        <f>M66-M67</f>
        <v>365.79592000000002</v>
      </c>
    </row>
    <row r="69" spans="3:13" ht="18.75">
      <c r="C69" s="138" t="s">
        <v>268</v>
      </c>
      <c r="D69" s="139">
        <f>D67+D68</f>
        <v>365.79592000000002</v>
      </c>
      <c r="F69" s="162"/>
      <c r="G69" s="158"/>
      <c r="H69" s="158"/>
      <c r="I69" s="163"/>
      <c r="J69" s="161"/>
      <c r="K69" s="158"/>
      <c r="L69" s="158"/>
      <c r="M69" s="161"/>
    </row>
    <row r="70" spans="3:13" ht="18.75">
      <c r="C70" s="140" t="s">
        <v>178</v>
      </c>
      <c r="D70" s="140">
        <f>VLOOKUP(D63,'2'!H51:J61,3,1)</f>
        <v>0</v>
      </c>
      <c r="F70" s="162" t="s">
        <v>198</v>
      </c>
      <c r="G70" s="158"/>
      <c r="H70" s="158"/>
      <c r="I70" s="158"/>
      <c r="J70" s="187">
        <f>(J65+J67+J66+J68)</f>
        <v>3500</v>
      </c>
      <c r="K70" s="158"/>
      <c r="L70" s="158"/>
      <c r="M70" s="161"/>
    </row>
    <row r="71" spans="3:13" ht="18.75">
      <c r="C71" s="217"/>
      <c r="D71" s="217"/>
      <c r="F71" s="164" t="s">
        <v>199</v>
      </c>
      <c r="G71" s="165"/>
      <c r="H71" s="165"/>
      <c r="I71" s="165"/>
      <c r="J71" s="166">
        <f>SUM(H65:H68)</f>
        <v>3500</v>
      </c>
      <c r="K71" s="164" t="s">
        <v>269</v>
      </c>
      <c r="L71" s="165"/>
      <c r="M71" s="167">
        <f>(M65+M66)-M67</f>
        <v>365.79592000000002</v>
      </c>
    </row>
    <row r="72" spans="3:13" ht="18.75">
      <c r="C72" s="217"/>
      <c r="D72" s="217"/>
      <c r="F72" s="258"/>
      <c r="G72" s="258"/>
      <c r="H72" s="258"/>
      <c r="I72" s="258"/>
      <c r="J72" s="259"/>
      <c r="K72" s="258"/>
      <c r="L72" s="258"/>
      <c r="M72" s="260"/>
    </row>
    <row r="73" spans="3:13" ht="18.75">
      <c r="C73" s="217"/>
      <c r="D73" s="217"/>
      <c r="F73" s="258"/>
      <c r="G73" s="258"/>
      <c r="H73" s="258"/>
      <c r="I73" s="258"/>
      <c r="J73" s="259"/>
      <c r="K73" s="258"/>
      <c r="L73" s="258"/>
      <c r="M73" s="260"/>
    </row>
    <row r="74" spans="3:13" ht="18.75">
      <c r="C74" s="217"/>
      <c r="D74" s="217"/>
      <c r="F74" s="258"/>
      <c r="G74" s="258"/>
      <c r="H74" s="258"/>
      <c r="I74" s="258"/>
      <c r="J74" s="259"/>
      <c r="K74" s="258"/>
      <c r="L74" s="258"/>
      <c r="M74" s="260"/>
    </row>
    <row r="75" spans="3:13" ht="18.75">
      <c r="F75" s="258"/>
      <c r="G75" s="258"/>
      <c r="H75" s="258"/>
      <c r="I75" s="258"/>
      <c r="J75" s="259"/>
      <c r="K75" s="258"/>
      <c r="L75" s="258"/>
      <c r="M75" s="260"/>
    </row>
    <row r="76" spans="3:13">
      <c r="F76" s="180" t="s">
        <v>204</v>
      </c>
      <c r="I76" s="180" t="s">
        <v>206</v>
      </c>
      <c r="J76" s="180"/>
    </row>
    <row r="77" spans="3:13">
      <c r="F77" s="180" t="s">
        <v>205</v>
      </c>
      <c r="I77" s="180" t="s">
        <v>207</v>
      </c>
      <c r="J77" s="180">
        <v>96.22</v>
      </c>
    </row>
    <row r="78" spans="3:13" ht="18.75">
      <c r="F78" s="182" t="s">
        <v>202</v>
      </c>
      <c r="G78" s="184">
        <v>500</v>
      </c>
      <c r="H78" s="175"/>
      <c r="I78" s="182" t="s">
        <v>208</v>
      </c>
      <c r="J78" s="175"/>
      <c r="K78" s="175"/>
      <c r="L78" s="175"/>
      <c r="M78" s="175"/>
    </row>
    <row r="79" spans="3:13" ht="18.75">
      <c r="C79" s="132" t="s">
        <v>186</v>
      </c>
      <c r="D79" s="132"/>
      <c r="F79" s="183" t="s">
        <v>201</v>
      </c>
      <c r="G79" s="183">
        <v>1</v>
      </c>
      <c r="H79" s="176"/>
      <c r="I79" s="176"/>
      <c r="J79" s="177"/>
      <c r="K79" s="143"/>
      <c r="L79" s="143"/>
      <c r="M79" s="185"/>
    </row>
    <row r="80" spans="3:13" ht="18.75">
      <c r="C80" s="133" t="s">
        <v>147</v>
      </c>
      <c r="D80" s="133"/>
      <c r="F80" s="144" t="s">
        <v>188</v>
      </c>
      <c r="G80" s="144"/>
      <c r="H80" s="144"/>
      <c r="I80" s="144"/>
      <c r="J80" s="144"/>
      <c r="K80" s="144" t="s">
        <v>189</v>
      </c>
      <c r="L80" s="144"/>
      <c r="M80" s="144"/>
    </row>
    <row r="81" spans="3:13" ht="18.75">
      <c r="C81" s="134" t="s">
        <v>270</v>
      </c>
      <c r="D81" s="135">
        <f>J87</f>
        <v>500</v>
      </c>
      <c r="F81" s="145"/>
      <c r="G81" s="146"/>
      <c r="H81" s="146" t="s">
        <v>190</v>
      </c>
      <c r="I81" s="146" t="s">
        <v>191</v>
      </c>
      <c r="J81" s="147" t="s">
        <v>192</v>
      </c>
      <c r="K81" s="146"/>
      <c r="L81" s="146"/>
      <c r="M81" s="147"/>
    </row>
    <row r="82" spans="3:13" ht="18.75">
      <c r="C82" s="134" t="s">
        <v>171</v>
      </c>
      <c r="D82" s="136">
        <f>VLOOKUP(D81,'2'!C6:F16,1,1)</f>
        <v>425.53</v>
      </c>
      <c r="F82" s="173" t="s">
        <v>193</v>
      </c>
      <c r="G82" s="174"/>
      <c r="H82" s="148">
        <f>G78*G79</f>
        <v>500</v>
      </c>
      <c r="I82" s="149">
        <v>0</v>
      </c>
      <c r="J82" s="150">
        <f>H82</f>
        <v>500</v>
      </c>
      <c r="K82" s="151"/>
      <c r="L82" s="151" t="s">
        <v>194</v>
      </c>
      <c r="M82" s="152">
        <v>0</v>
      </c>
    </row>
    <row r="83" spans="3:13" ht="18.75">
      <c r="C83" s="134" t="s">
        <v>172</v>
      </c>
      <c r="D83" s="136">
        <f>D81-D82</f>
        <v>74.470000000000027</v>
      </c>
      <c r="F83" s="153"/>
      <c r="G83" s="154"/>
      <c r="H83" s="155"/>
      <c r="I83" s="156"/>
      <c r="J83" s="157"/>
      <c r="K83" s="158"/>
      <c r="L83" s="186" t="s">
        <v>271</v>
      </c>
      <c r="M83" s="242">
        <f>D87</f>
        <v>52.255024000000006</v>
      </c>
    </row>
    <row r="84" spans="3:13" ht="18.75">
      <c r="C84" s="134" t="s">
        <v>173</v>
      </c>
      <c r="D84" s="137">
        <f>VLOOKUP(D81,'2'!C6:F16,4,1)</f>
        <v>0.17920000000000003</v>
      </c>
      <c r="F84" s="153"/>
      <c r="G84" s="154"/>
      <c r="H84" s="155"/>
      <c r="I84" s="159"/>
      <c r="J84" s="157">
        <f>H84</f>
        <v>0</v>
      </c>
      <c r="K84" s="158"/>
      <c r="L84" s="158" t="s">
        <v>158</v>
      </c>
      <c r="M84" s="160">
        <f>D88</f>
        <v>0</v>
      </c>
    </row>
    <row r="85" spans="3:13" ht="18.75">
      <c r="C85" s="134" t="s">
        <v>174</v>
      </c>
      <c r="D85" s="136">
        <f>D83*D84</f>
        <v>13.345024000000008</v>
      </c>
      <c r="F85" s="153"/>
      <c r="G85" s="154"/>
      <c r="H85" s="155"/>
      <c r="I85" s="156"/>
      <c r="J85" s="157">
        <f>H85-I85</f>
        <v>0</v>
      </c>
      <c r="K85" s="158"/>
      <c r="L85" s="158" t="s">
        <v>271</v>
      </c>
      <c r="M85" s="160">
        <f>M83-M84</f>
        <v>52.255024000000006</v>
      </c>
    </row>
    <row r="86" spans="3:13" ht="24.75" customHeight="1">
      <c r="C86" s="134" t="s">
        <v>175</v>
      </c>
      <c r="D86" s="134">
        <f>VLOOKUP(D81,'2'!C6:F16,3,1)</f>
        <v>38.909999999999997</v>
      </c>
      <c r="F86" s="162"/>
      <c r="G86" s="158"/>
      <c r="H86" s="158"/>
      <c r="I86" s="163"/>
      <c r="J86" s="161"/>
      <c r="K86" s="158"/>
      <c r="L86" s="158"/>
      <c r="M86" s="161"/>
    </row>
    <row r="87" spans="3:13" ht="18.75">
      <c r="C87" s="138" t="s">
        <v>271</v>
      </c>
      <c r="D87" s="139">
        <f>D85+D86</f>
        <v>52.255024000000006</v>
      </c>
      <c r="F87" s="162" t="s">
        <v>198</v>
      </c>
      <c r="G87" s="158"/>
      <c r="H87" s="158"/>
      <c r="I87" s="158"/>
      <c r="J87" s="187">
        <f>(J82+J84+J83+J85)</f>
        <v>500</v>
      </c>
      <c r="K87" s="158"/>
      <c r="L87" s="158"/>
      <c r="M87" s="161"/>
    </row>
    <row r="88" spans="3:13" ht="18.75">
      <c r="C88" s="140" t="s">
        <v>178</v>
      </c>
      <c r="D88" s="140">
        <f>VLOOKUP(D81,'2'!H6:J17,3,1)</f>
        <v>0</v>
      </c>
      <c r="F88" s="164" t="s">
        <v>199</v>
      </c>
      <c r="G88" s="165"/>
      <c r="H88" s="165"/>
      <c r="I88" s="165"/>
      <c r="J88" s="166">
        <f>SUM(H82:H85)</f>
        <v>500</v>
      </c>
      <c r="K88" s="164" t="s">
        <v>146</v>
      </c>
      <c r="L88" s="165"/>
      <c r="M88" s="167">
        <f>(M82+M83)-M84</f>
        <v>52.255024000000006</v>
      </c>
    </row>
    <row r="89" spans="3:13" ht="18.75">
      <c r="F89" s="168"/>
      <c r="G89" s="168"/>
      <c r="H89" s="168"/>
      <c r="I89" s="168"/>
      <c r="J89" s="169"/>
      <c r="K89" s="170" t="s">
        <v>200</v>
      </c>
      <c r="L89" s="171"/>
      <c r="M89" s="172">
        <f>J88-M88</f>
        <v>447.74497600000001</v>
      </c>
    </row>
  </sheetData>
  <mergeCells count="66">
    <mergeCell ref="F89:I89"/>
    <mergeCell ref="K89:L89"/>
    <mergeCell ref="P28:W36"/>
    <mergeCell ref="P45:W50"/>
    <mergeCell ref="F82:G82"/>
    <mergeCell ref="F83:G83"/>
    <mergeCell ref="F84:G84"/>
    <mergeCell ref="F85:G85"/>
    <mergeCell ref="F88:I88"/>
    <mergeCell ref="K88:L88"/>
    <mergeCell ref="F71:I71"/>
    <mergeCell ref="K71:L71"/>
    <mergeCell ref="K79:L79"/>
    <mergeCell ref="F80:J80"/>
    <mergeCell ref="K80:M80"/>
    <mergeCell ref="F63:J63"/>
    <mergeCell ref="K63:M63"/>
    <mergeCell ref="F65:G65"/>
    <mergeCell ref="F66:G66"/>
    <mergeCell ref="F67:G67"/>
    <mergeCell ref="F68:G68"/>
    <mergeCell ref="F51:G51"/>
    <mergeCell ref="F54:I54"/>
    <mergeCell ref="K54:L54"/>
    <mergeCell ref="F55:I55"/>
    <mergeCell ref="K55:L55"/>
    <mergeCell ref="K62:L62"/>
    <mergeCell ref="K45:L45"/>
    <mergeCell ref="F46:J46"/>
    <mergeCell ref="K46:M46"/>
    <mergeCell ref="F48:G48"/>
    <mergeCell ref="F49:G49"/>
    <mergeCell ref="F50:G50"/>
    <mergeCell ref="F32:G32"/>
    <mergeCell ref="F33:G33"/>
    <mergeCell ref="F36:I36"/>
    <mergeCell ref="K36:L36"/>
    <mergeCell ref="F37:I37"/>
    <mergeCell ref="K37:L37"/>
    <mergeCell ref="F3:L3"/>
    <mergeCell ref="K27:L27"/>
    <mergeCell ref="F28:J28"/>
    <mergeCell ref="K28:M28"/>
    <mergeCell ref="F30:G30"/>
    <mergeCell ref="F31:G31"/>
    <mergeCell ref="F12:G12"/>
    <mergeCell ref="F13:G13"/>
    <mergeCell ref="F14:G14"/>
    <mergeCell ref="F17:I17"/>
    <mergeCell ref="K17:L17"/>
    <mergeCell ref="F18:I18"/>
    <mergeCell ref="K18:L18"/>
    <mergeCell ref="C61:D61"/>
    <mergeCell ref="C62:D62"/>
    <mergeCell ref="C79:D79"/>
    <mergeCell ref="C80:D80"/>
    <mergeCell ref="K8:L8"/>
    <mergeCell ref="F9:J9"/>
    <mergeCell ref="K9:M9"/>
    <mergeCell ref="F11:G11"/>
    <mergeCell ref="C6:D6"/>
    <mergeCell ref="C7:D7"/>
    <mergeCell ref="C26:D26"/>
    <mergeCell ref="C27:D27"/>
    <mergeCell ref="C45:D45"/>
    <mergeCell ref="C46:D46"/>
  </mergeCells>
  <conditionalFormatting sqref="D19">
    <cfRule type="expression" dxfId="5" priority="9">
      <formula>$C$32&gt;0</formula>
    </cfRule>
    <cfRule type="expression" dxfId="4" priority="10">
      <formula>$C$32&lt;0</formula>
    </cfRule>
  </conditionalFormatting>
  <conditionalFormatting sqref="D36">
    <cfRule type="expression" dxfId="3" priority="7">
      <formula>$C$32&gt;0</formula>
    </cfRule>
    <cfRule type="expression" dxfId="2" priority="8">
      <formula>$C$32&lt;0</formula>
    </cfRule>
  </conditionalFormatting>
  <conditionalFormatting sqref="D56">
    <cfRule type="expression" dxfId="1" priority="5">
      <formula>$C$32&gt;0</formula>
    </cfRule>
    <cfRule type="expression" dxfId="0" priority="6">
      <formula>$C$32&lt;0</formula>
    </cfRule>
  </conditionalFormatting>
  <hyperlinks>
    <hyperlink ref="C14" r:id="rId1" display="https://www.youtube.com/watch?v=02UXDpWne5s&amp;t=705s"/>
    <hyperlink ref="C9" r:id="rId2" display="https://www.facebook.com/00CCM20/"/>
    <hyperlink ref="C34" r:id="rId3" display="https://www.youtube.com/watch?v=02UXDpWne5s&amp;t=705s"/>
    <hyperlink ref="C29" r:id="rId4" display="https://www.facebook.com/00CCM20/"/>
    <hyperlink ref="C53" r:id="rId5" display="https://www.youtube.com/watch?v=02UXDpWne5s&amp;t=705s"/>
    <hyperlink ref="C48" r:id="rId6" display="https://www.facebook.com/00CCM20/"/>
    <hyperlink ref="C69" r:id="rId7" display="https://www.youtube.com/watch?v=02UXDpWne5s&amp;t=705s"/>
    <hyperlink ref="C64" r:id="rId8" display="https://www.facebook.com/00CCM20/"/>
    <hyperlink ref="C87" r:id="rId9" display="https://www.youtube.com/watch?v=02UXDpWne5s&amp;t=705s"/>
    <hyperlink ref="C82" r:id="rId10" display="https://www.facebook.com/00CCM20/"/>
  </hyperlinks>
  <pageMargins left="0.7" right="0.7" top="0.75" bottom="0.75" header="0.3" footer="0.3"/>
  <drawing r:id="rId1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D11" sqref="D11"/>
    </sheetView>
  </sheetViews>
  <sheetFormatPr baseColWidth="10"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showGridLines="0" topLeftCell="A7" zoomScaleNormal="100" workbookViewId="0">
      <selection activeCell="D19" sqref="D19:D20"/>
    </sheetView>
  </sheetViews>
  <sheetFormatPr baseColWidth="10" defaultRowHeight="15"/>
  <cols>
    <col min="2" max="2" width="74" bestFit="1" customWidth="1"/>
    <col min="8" max="8" width="76.42578125" customWidth="1"/>
  </cols>
  <sheetData>
    <row r="1" spans="1:14">
      <c r="A1" s="313" t="s">
        <v>321</v>
      </c>
      <c r="B1" s="312"/>
      <c r="C1" s="312"/>
      <c r="D1" s="312"/>
      <c r="E1" s="312"/>
      <c r="F1" s="312"/>
      <c r="G1" s="312"/>
      <c r="H1" s="312"/>
      <c r="I1" s="319"/>
      <c r="J1" s="319"/>
      <c r="K1" s="319"/>
      <c r="L1" s="312"/>
      <c r="M1" s="319"/>
      <c r="N1" s="319"/>
    </row>
    <row r="2" spans="1:14">
      <c r="A2" s="313" t="s">
        <v>322</v>
      </c>
      <c r="B2" s="312"/>
      <c r="C2" s="312"/>
      <c r="D2" s="312"/>
      <c r="E2" s="312"/>
      <c r="F2" s="312"/>
      <c r="G2" s="312"/>
      <c r="H2" s="312"/>
      <c r="I2" s="319"/>
      <c r="J2" s="319"/>
      <c r="K2" s="319"/>
      <c r="L2" s="312"/>
      <c r="M2" s="319"/>
      <c r="N2" s="319"/>
    </row>
    <row r="3" spans="1:14">
      <c r="A3" s="313" t="s">
        <v>323</v>
      </c>
      <c r="B3" s="312" t="s">
        <v>324</v>
      </c>
      <c r="C3" s="312"/>
      <c r="D3" s="312"/>
      <c r="E3" s="312"/>
      <c r="F3" s="312"/>
      <c r="G3" s="312"/>
      <c r="H3" s="312"/>
      <c r="I3" s="319"/>
      <c r="J3" s="319"/>
      <c r="K3" s="319"/>
      <c r="L3" s="312"/>
      <c r="M3" s="319"/>
      <c r="N3" s="319"/>
    </row>
    <row r="5" spans="1:14">
      <c r="A5" s="313" t="s">
        <v>325</v>
      </c>
      <c r="B5" s="312" t="s">
        <v>326</v>
      </c>
      <c r="C5" s="312"/>
      <c r="D5" s="312" t="s">
        <v>327</v>
      </c>
      <c r="E5" s="312"/>
      <c r="F5" s="312" t="s">
        <v>328</v>
      </c>
      <c r="G5" s="312"/>
      <c r="H5" s="312"/>
      <c r="I5" s="319" t="s">
        <v>329</v>
      </c>
      <c r="J5" s="319"/>
      <c r="K5" s="319"/>
      <c r="L5" s="312"/>
      <c r="M5" s="319" t="s">
        <v>330</v>
      </c>
      <c r="N5" s="319"/>
    </row>
    <row r="6" spans="1:14">
      <c r="A6" s="315" t="s">
        <v>331</v>
      </c>
      <c r="B6" s="316" t="s">
        <v>332</v>
      </c>
      <c r="C6" s="316"/>
      <c r="D6" s="316"/>
      <c r="E6" s="316"/>
      <c r="F6" s="316"/>
      <c r="G6" s="316"/>
      <c r="H6" s="316"/>
      <c r="I6" s="319" t="s">
        <v>333</v>
      </c>
      <c r="J6" s="319" t="s">
        <v>334</v>
      </c>
      <c r="K6" s="319" t="s">
        <v>278</v>
      </c>
      <c r="L6" s="316"/>
      <c r="M6" s="319" t="s">
        <v>333</v>
      </c>
      <c r="N6" s="319" t="s">
        <v>335</v>
      </c>
    </row>
    <row r="7" spans="1:14">
      <c r="A7" s="314" t="s">
        <v>336</v>
      </c>
      <c r="B7" s="311" t="s">
        <v>337</v>
      </c>
      <c r="C7" s="311" t="s">
        <v>338</v>
      </c>
      <c r="D7" s="311">
        <v>0</v>
      </c>
      <c r="E7" s="311"/>
      <c r="F7" s="311" t="s">
        <v>339</v>
      </c>
      <c r="G7" s="311"/>
      <c r="H7" s="311"/>
      <c r="I7" s="319">
        <v>0.01</v>
      </c>
      <c r="J7" s="319">
        <v>0</v>
      </c>
      <c r="K7" s="319">
        <v>1.92</v>
      </c>
      <c r="L7" s="311"/>
      <c r="M7" s="319">
        <v>0.01</v>
      </c>
      <c r="N7" s="319">
        <v>407.02</v>
      </c>
    </row>
    <row r="8" spans="1:14">
      <c r="A8" s="314" t="s">
        <v>340</v>
      </c>
      <c r="B8" s="311" t="s">
        <v>341</v>
      </c>
      <c r="C8" s="311" t="s">
        <v>338</v>
      </c>
      <c r="D8" s="317">
        <v>3750</v>
      </c>
      <c r="E8" s="311"/>
      <c r="F8" s="311" t="s">
        <v>342</v>
      </c>
      <c r="G8" s="311"/>
      <c r="H8" s="311"/>
      <c r="I8" s="319">
        <v>644.59</v>
      </c>
      <c r="J8" s="319">
        <v>12.38</v>
      </c>
      <c r="K8" s="319">
        <v>6.4</v>
      </c>
      <c r="L8" s="311"/>
      <c r="M8" s="319">
        <v>1768.97</v>
      </c>
      <c r="N8" s="319">
        <v>406.83</v>
      </c>
    </row>
    <row r="9" spans="1:14">
      <c r="A9" s="314" t="s">
        <v>343</v>
      </c>
      <c r="B9" s="311" t="s">
        <v>344</v>
      </c>
      <c r="C9" s="311" t="s">
        <v>338</v>
      </c>
      <c r="D9" s="311">
        <v>15</v>
      </c>
      <c r="E9" s="311"/>
      <c r="F9" s="311" t="s">
        <v>345</v>
      </c>
      <c r="G9" s="311"/>
      <c r="H9" s="311"/>
      <c r="I9" s="319">
        <v>5470.93</v>
      </c>
      <c r="J9" s="319">
        <v>321.26</v>
      </c>
      <c r="K9" s="319">
        <v>10.88</v>
      </c>
      <c r="L9" s="311"/>
      <c r="M9" s="319">
        <v>2653.39</v>
      </c>
      <c r="N9" s="319">
        <v>406.62</v>
      </c>
    </row>
    <row r="10" spans="1:14">
      <c r="A10" s="314" t="s">
        <v>346</v>
      </c>
      <c r="B10" s="311" t="s">
        <v>347</v>
      </c>
      <c r="C10" s="311" t="s">
        <v>338</v>
      </c>
      <c r="D10" s="311">
        <v>15</v>
      </c>
      <c r="E10" s="285">
        <v>30.4</v>
      </c>
      <c r="F10" s="311" t="s">
        <v>348</v>
      </c>
      <c r="G10" s="311"/>
      <c r="H10" s="311"/>
      <c r="I10" s="319">
        <v>9614.67</v>
      </c>
      <c r="J10" s="319">
        <v>772.1</v>
      </c>
      <c r="K10" s="319">
        <v>16</v>
      </c>
      <c r="L10" s="311"/>
      <c r="M10" s="319">
        <v>3472.85</v>
      </c>
      <c r="N10" s="319">
        <v>392.77</v>
      </c>
    </row>
    <row r="11" spans="1:14">
      <c r="A11" s="314" t="s">
        <v>349</v>
      </c>
      <c r="B11" s="311" t="s">
        <v>350</v>
      </c>
      <c r="C11" s="311" t="s">
        <v>338</v>
      </c>
      <c r="D11" s="317">
        <v>7600</v>
      </c>
      <c r="E11" s="285">
        <f>D8/D9*E10</f>
        <v>7600</v>
      </c>
      <c r="F11" s="311" t="s">
        <v>351</v>
      </c>
      <c r="G11" s="311"/>
      <c r="H11" s="311"/>
      <c r="I11" s="319">
        <v>11176.63</v>
      </c>
      <c r="J11" s="319">
        <v>1022.01</v>
      </c>
      <c r="K11" s="319">
        <v>17.920000000000002</v>
      </c>
      <c r="L11" s="311"/>
      <c r="M11" s="319">
        <v>3537.88</v>
      </c>
      <c r="N11" s="319">
        <v>382.46</v>
      </c>
    </row>
    <row r="12" spans="1:14">
      <c r="A12" s="314" t="s">
        <v>352</v>
      </c>
      <c r="B12" s="311" t="s">
        <v>353</v>
      </c>
      <c r="C12" s="311" t="s">
        <v>338</v>
      </c>
      <c r="D12" s="317">
        <v>7600</v>
      </c>
      <c r="E12" s="311"/>
      <c r="F12" s="311" t="s">
        <v>354</v>
      </c>
      <c r="G12" s="311"/>
      <c r="H12" s="311"/>
      <c r="I12" s="319">
        <v>13381.48</v>
      </c>
      <c r="J12" s="319">
        <v>1417.12</v>
      </c>
      <c r="K12" s="319">
        <v>21.36</v>
      </c>
      <c r="L12" s="311"/>
      <c r="M12" s="319">
        <v>4446.16</v>
      </c>
      <c r="N12" s="319">
        <v>354.23</v>
      </c>
    </row>
    <row r="13" spans="1:14">
      <c r="A13" s="315" t="s">
        <v>355</v>
      </c>
      <c r="B13" s="316" t="s">
        <v>356</v>
      </c>
      <c r="C13" s="316"/>
      <c r="D13" s="316"/>
      <c r="E13" s="316"/>
      <c r="F13" s="316"/>
      <c r="G13" s="316"/>
      <c r="H13" s="316"/>
      <c r="I13" s="319">
        <v>26988.51</v>
      </c>
      <c r="J13" s="319">
        <v>4323.58</v>
      </c>
      <c r="K13" s="319">
        <v>23.52</v>
      </c>
      <c r="L13" s="316"/>
      <c r="M13" s="319">
        <v>4717.1899999999996</v>
      </c>
      <c r="N13" s="319">
        <v>324.87</v>
      </c>
    </row>
    <row r="14" spans="1:14">
      <c r="A14" s="314" t="s">
        <v>357</v>
      </c>
      <c r="B14" s="311" t="s">
        <v>276</v>
      </c>
      <c r="C14" s="311" t="s">
        <v>338</v>
      </c>
      <c r="D14" s="317">
        <v>5470.93</v>
      </c>
      <c r="E14" s="311"/>
      <c r="F14" s="311" t="s">
        <v>358</v>
      </c>
      <c r="G14" s="311"/>
      <c r="H14" s="311"/>
      <c r="I14" s="319">
        <v>42537.59</v>
      </c>
      <c r="J14" s="319">
        <v>7980.73</v>
      </c>
      <c r="K14" s="319">
        <v>30</v>
      </c>
      <c r="L14" s="311"/>
      <c r="M14" s="319">
        <v>5335.43</v>
      </c>
      <c r="N14" s="319">
        <v>294.63</v>
      </c>
    </row>
    <row r="15" spans="1:14">
      <c r="A15" s="314" t="s">
        <v>359</v>
      </c>
      <c r="B15" s="311" t="s">
        <v>360</v>
      </c>
      <c r="C15" s="311" t="s">
        <v>338</v>
      </c>
      <c r="D15" s="317">
        <v>2129.0700000000002</v>
      </c>
      <c r="E15" s="311"/>
      <c r="F15" s="311" t="s">
        <v>361</v>
      </c>
      <c r="G15" s="311"/>
      <c r="H15" s="311"/>
      <c r="I15" s="319">
        <v>81211.259999999995</v>
      </c>
      <c r="J15" s="319">
        <v>19582.830000000002</v>
      </c>
      <c r="K15" s="319">
        <v>32</v>
      </c>
      <c r="L15" s="311"/>
      <c r="M15" s="319">
        <v>6224.68</v>
      </c>
      <c r="N15" s="319">
        <v>253.54</v>
      </c>
    </row>
    <row r="16" spans="1:14">
      <c r="A16" s="314" t="s">
        <v>362</v>
      </c>
      <c r="B16" s="311" t="s">
        <v>278</v>
      </c>
      <c r="C16" s="311" t="s">
        <v>338</v>
      </c>
      <c r="D16" s="318">
        <v>0.10879999999999999</v>
      </c>
      <c r="E16" s="311"/>
      <c r="F16" s="311" t="s">
        <v>363</v>
      </c>
      <c r="G16" s="311"/>
      <c r="H16" s="311"/>
      <c r="I16" s="319">
        <v>108281.68</v>
      </c>
      <c r="J16" s="319">
        <v>28245.360000000001</v>
      </c>
      <c r="K16" s="319">
        <v>34</v>
      </c>
      <c r="L16" s="311"/>
      <c r="M16" s="319">
        <v>7113.91</v>
      </c>
      <c r="N16" s="319">
        <v>217.61</v>
      </c>
    </row>
    <row r="17" spans="1:14">
      <c r="A17" s="314" t="s">
        <v>364</v>
      </c>
      <c r="B17" s="311" t="s">
        <v>365</v>
      </c>
      <c r="C17" s="311" t="s">
        <v>338</v>
      </c>
      <c r="D17" s="311">
        <v>231.64</v>
      </c>
      <c r="E17" s="311"/>
      <c r="F17" s="311" t="s">
        <v>366</v>
      </c>
      <c r="G17" s="311"/>
      <c r="H17" s="311"/>
      <c r="I17" s="319">
        <v>324845.02</v>
      </c>
      <c r="J17" s="319">
        <v>101876.9</v>
      </c>
      <c r="K17" s="319">
        <v>35</v>
      </c>
      <c r="L17" s="311"/>
      <c r="M17" s="319">
        <v>7382.34</v>
      </c>
      <c r="N17" s="319">
        <v>0</v>
      </c>
    </row>
    <row r="18" spans="1:14">
      <c r="A18" s="314" t="s">
        <v>367</v>
      </c>
      <c r="B18" s="311" t="s">
        <v>280</v>
      </c>
      <c r="C18" s="311" t="s">
        <v>338</v>
      </c>
      <c r="D18" s="311">
        <v>321.26</v>
      </c>
      <c r="E18" s="311"/>
      <c r="F18" s="311" t="s">
        <v>368</v>
      </c>
      <c r="G18" s="311"/>
      <c r="H18" s="311"/>
      <c r="I18" s="311"/>
      <c r="J18" s="311"/>
      <c r="K18" s="311"/>
      <c r="L18" s="311"/>
      <c r="M18" s="311"/>
      <c r="N18" s="311"/>
    </row>
    <row r="19" spans="1:14">
      <c r="A19" s="314" t="s">
        <v>369</v>
      </c>
      <c r="B19" s="311" t="s">
        <v>370</v>
      </c>
      <c r="C19" s="311" t="s">
        <v>338</v>
      </c>
      <c r="D19" s="213">
        <v>552.9</v>
      </c>
      <c r="E19" s="311"/>
      <c r="F19" s="311" t="s">
        <v>371</v>
      </c>
      <c r="G19" s="311"/>
      <c r="H19" s="311"/>
      <c r="I19" s="311"/>
      <c r="J19" s="311"/>
      <c r="K19" s="311"/>
      <c r="L19" s="311"/>
      <c r="M19" s="311"/>
      <c r="N19" s="311"/>
    </row>
    <row r="20" spans="1:14">
      <c r="A20" s="313" t="s">
        <v>372</v>
      </c>
      <c r="B20" s="312" t="s">
        <v>373</v>
      </c>
      <c r="C20" s="312" t="s">
        <v>338</v>
      </c>
      <c r="D20" s="310">
        <v>272.81</v>
      </c>
      <c r="E20" s="312"/>
      <c r="F20" s="312" t="s">
        <v>374</v>
      </c>
      <c r="G20" s="312"/>
      <c r="H20" s="312"/>
      <c r="I20" s="319"/>
      <c r="J20" s="319"/>
      <c r="K20" s="319"/>
      <c r="L20" s="312"/>
      <c r="M20" s="319"/>
      <c r="N20" s="319"/>
    </row>
    <row r="21" spans="1:14">
      <c r="A21" s="315" t="s">
        <v>375</v>
      </c>
      <c r="B21" s="316" t="s">
        <v>376</v>
      </c>
      <c r="C21" s="316"/>
      <c r="D21" s="316"/>
      <c r="E21" s="316"/>
      <c r="F21" s="316"/>
      <c r="G21" s="316"/>
      <c r="H21" s="316"/>
      <c r="I21" s="319"/>
      <c r="J21" s="319"/>
      <c r="K21" s="319"/>
      <c r="L21" s="316"/>
      <c r="M21" s="319"/>
      <c r="N21" s="319"/>
    </row>
    <row r="22" spans="1:14">
      <c r="A22" s="314" t="s">
        <v>377</v>
      </c>
      <c r="B22" s="311" t="s">
        <v>378</v>
      </c>
      <c r="C22" s="311" t="s">
        <v>338</v>
      </c>
      <c r="D22" s="311">
        <v>0</v>
      </c>
      <c r="E22" s="311"/>
      <c r="F22" s="311" t="s">
        <v>379</v>
      </c>
      <c r="G22" s="311"/>
      <c r="H22" s="311"/>
      <c r="I22" s="311"/>
      <c r="J22" s="311"/>
      <c r="K22" s="311"/>
      <c r="L22" s="311"/>
      <c r="M22" s="311"/>
      <c r="N22" s="311"/>
    </row>
    <row r="23" spans="1:14">
      <c r="A23" s="314" t="s">
        <v>380</v>
      </c>
      <c r="B23" s="311" t="s">
        <v>381</v>
      </c>
      <c r="C23" s="311" t="s">
        <v>338</v>
      </c>
      <c r="D23" s="311">
        <v>0</v>
      </c>
      <c r="E23" s="311"/>
      <c r="F23" s="311" t="s">
        <v>382</v>
      </c>
      <c r="G23" s="311"/>
      <c r="H23" s="311"/>
      <c r="I23" s="311"/>
      <c r="J23" s="311"/>
      <c r="K23" s="311"/>
      <c r="L23" s="311"/>
      <c r="M23" s="311"/>
      <c r="N23" s="311"/>
    </row>
    <row r="24" spans="1:14">
      <c r="A24" s="315" t="s">
        <v>383</v>
      </c>
      <c r="B24" s="316" t="s">
        <v>384</v>
      </c>
      <c r="C24" s="316"/>
      <c r="D24" s="316"/>
      <c r="E24" s="316"/>
      <c r="F24" s="316"/>
      <c r="G24" s="316"/>
      <c r="H24" s="316"/>
      <c r="I24" s="319"/>
      <c r="J24" s="319"/>
      <c r="K24" s="319"/>
      <c r="L24" s="316"/>
      <c r="M24" s="319"/>
      <c r="N24" s="319"/>
    </row>
    <row r="25" spans="1:14">
      <c r="A25" s="314" t="s">
        <v>385</v>
      </c>
      <c r="B25" s="311" t="s">
        <v>386</v>
      </c>
      <c r="C25" s="311" t="s">
        <v>338</v>
      </c>
      <c r="D25" s="317">
        <v>3750</v>
      </c>
      <c r="E25" s="311"/>
      <c r="F25" s="311" t="s">
        <v>387</v>
      </c>
      <c r="G25" s="311"/>
      <c r="H25" s="311"/>
      <c r="I25" s="311"/>
      <c r="J25" s="311"/>
      <c r="K25" s="311"/>
      <c r="L25" s="311"/>
      <c r="M25" s="311"/>
      <c r="N25" s="311"/>
    </row>
    <row r="26" spans="1:14">
      <c r="A26" s="314" t="s">
        <v>388</v>
      </c>
      <c r="B26" s="311" t="s">
        <v>389</v>
      </c>
      <c r="C26" s="311" t="s">
        <v>338</v>
      </c>
      <c r="D26" s="311">
        <v>0</v>
      </c>
      <c r="E26" s="311"/>
      <c r="F26" s="311" t="s">
        <v>390</v>
      </c>
      <c r="G26" s="311"/>
      <c r="H26" s="311"/>
      <c r="I26" s="311"/>
      <c r="J26" s="311"/>
      <c r="K26" s="311"/>
      <c r="L26" s="311"/>
      <c r="M26" s="311"/>
      <c r="N26" s="311"/>
    </row>
    <row r="27" spans="1:14">
      <c r="A27" s="314" t="s">
        <v>391</v>
      </c>
      <c r="B27" s="311" t="s">
        <v>392</v>
      </c>
      <c r="C27" s="311" t="s">
        <v>338</v>
      </c>
      <c r="D27" s="311">
        <v>0</v>
      </c>
      <c r="E27" s="311"/>
      <c r="F27" s="311" t="s">
        <v>393</v>
      </c>
      <c r="G27" s="311"/>
      <c r="H27" s="311"/>
      <c r="I27" s="311"/>
      <c r="J27" s="311"/>
      <c r="K27" s="311"/>
      <c r="L27" s="311"/>
      <c r="M27" s="311"/>
      <c r="N27" s="311"/>
    </row>
    <row r="28" spans="1:14">
      <c r="A28" s="314" t="s">
        <v>394</v>
      </c>
      <c r="B28" s="311" t="s">
        <v>395</v>
      </c>
      <c r="C28" s="311" t="s">
        <v>338</v>
      </c>
      <c r="D28" s="311">
        <v>0</v>
      </c>
      <c r="E28" s="311"/>
      <c r="F28" s="311" t="s">
        <v>396</v>
      </c>
      <c r="G28" s="311"/>
      <c r="H28" s="311"/>
      <c r="I28" s="311"/>
      <c r="J28" s="311"/>
      <c r="K28" s="311"/>
      <c r="L28" s="311"/>
      <c r="M28" s="311"/>
      <c r="N28" s="311"/>
    </row>
    <row r="29" spans="1:14">
      <c r="A29" s="315" t="s">
        <v>397</v>
      </c>
      <c r="B29" s="316" t="s">
        <v>398</v>
      </c>
      <c r="C29" s="316"/>
      <c r="D29" s="316"/>
      <c r="E29" s="316"/>
      <c r="F29" s="316"/>
      <c r="G29" s="316"/>
      <c r="H29" s="316"/>
      <c r="I29" s="319"/>
      <c r="J29" s="319"/>
      <c r="K29" s="319"/>
      <c r="L29" s="316"/>
      <c r="M29" s="319"/>
      <c r="N29" s="319"/>
    </row>
    <row r="30" spans="1:14">
      <c r="A30" s="313" t="s">
        <v>399</v>
      </c>
      <c r="B30" s="312" t="s">
        <v>400</v>
      </c>
      <c r="C30" s="312" t="s">
        <v>338</v>
      </c>
      <c r="D30" s="312">
        <v>0</v>
      </c>
      <c r="E30" s="312"/>
      <c r="F30" s="312" t="s">
        <v>401</v>
      </c>
      <c r="G30" s="312"/>
      <c r="H30" s="312"/>
      <c r="I30" s="319"/>
      <c r="J30" s="319"/>
      <c r="K30" s="319"/>
      <c r="L30" s="312"/>
      <c r="M30" s="319"/>
      <c r="N30" s="319"/>
    </row>
    <row r="31" spans="1:14">
      <c r="A31" s="315" t="s">
        <v>402</v>
      </c>
      <c r="B31" s="316" t="s">
        <v>403</v>
      </c>
      <c r="C31" s="316"/>
      <c r="D31" s="316"/>
      <c r="E31" s="316"/>
      <c r="F31" s="316"/>
      <c r="G31" s="316"/>
      <c r="H31" s="316"/>
      <c r="I31" s="319"/>
      <c r="J31" s="319"/>
      <c r="K31" s="319"/>
      <c r="L31" s="316"/>
      <c r="M31" s="319"/>
      <c r="N31" s="319"/>
    </row>
    <row r="32" spans="1:14">
      <c r="A32" s="313" t="s">
        <v>404</v>
      </c>
      <c r="B32" s="312" t="s">
        <v>405</v>
      </c>
      <c r="C32" s="312" t="s">
        <v>338</v>
      </c>
      <c r="D32" s="312">
        <v>272.81</v>
      </c>
      <c r="E32" s="312"/>
      <c r="F32" s="312" t="s">
        <v>406</v>
      </c>
      <c r="G32" s="312"/>
      <c r="H32" s="312"/>
      <c r="I32" s="319"/>
      <c r="J32" s="319"/>
      <c r="K32" s="319"/>
      <c r="L32" s="312"/>
      <c r="M32" s="319"/>
      <c r="N32" s="319"/>
    </row>
    <row r="33" spans="1:14">
      <c r="A33" s="314" t="s">
        <v>407</v>
      </c>
      <c r="B33" s="311" t="s">
        <v>408</v>
      </c>
      <c r="C33" s="311" t="s">
        <v>338</v>
      </c>
      <c r="D33" s="311">
        <v>0</v>
      </c>
      <c r="E33" s="311"/>
      <c r="F33" s="311" t="s">
        <v>409</v>
      </c>
      <c r="G33" s="311"/>
      <c r="H33" s="311"/>
      <c r="I33" s="311"/>
      <c r="J33" s="311"/>
      <c r="K33" s="311"/>
      <c r="L33" s="311"/>
      <c r="M33" s="311"/>
      <c r="N33" s="311"/>
    </row>
    <row r="34" spans="1:14">
      <c r="A34" s="315" t="s">
        <v>410</v>
      </c>
      <c r="B34" s="316" t="s">
        <v>411</v>
      </c>
      <c r="C34" s="316"/>
      <c r="D34" s="316"/>
      <c r="E34" s="316"/>
      <c r="F34" s="316"/>
      <c r="G34" s="316"/>
      <c r="H34" s="316"/>
      <c r="I34" s="319"/>
      <c r="J34" s="319"/>
      <c r="K34" s="319"/>
      <c r="L34" s="316"/>
      <c r="M34" s="319"/>
      <c r="N34" s="319"/>
    </row>
    <row r="35" spans="1:14">
      <c r="A35" s="314" t="s">
        <v>412</v>
      </c>
      <c r="B35" s="311" t="s">
        <v>386</v>
      </c>
      <c r="C35" s="311" t="s">
        <v>338</v>
      </c>
      <c r="D35" s="317">
        <v>3750</v>
      </c>
      <c r="E35" s="311"/>
      <c r="F35" s="311" t="s">
        <v>387</v>
      </c>
      <c r="G35" s="311"/>
      <c r="H35" s="311"/>
      <c r="I35" s="311"/>
      <c r="J35" s="311"/>
      <c r="K35" s="311"/>
      <c r="L35" s="311"/>
      <c r="M35" s="311"/>
      <c r="N35" s="311"/>
    </row>
    <row r="36" spans="1:14">
      <c r="A36" s="314" t="s">
        <v>413</v>
      </c>
      <c r="B36" s="311" t="s">
        <v>276</v>
      </c>
      <c r="C36" s="311" t="s">
        <v>338</v>
      </c>
      <c r="D36" s="311">
        <v>644.59</v>
      </c>
      <c r="E36" s="311"/>
      <c r="F36" s="311" t="s">
        <v>414</v>
      </c>
      <c r="G36" s="311"/>
      <c r="H36" s="311"/>
      <c r="I36" s="311"/>
      <c r="J36" s="311"/>
      <c r="K36" s="311"/>
      <c r="L36" s="311"/>
      <c r="M36" s="311"/>
      <c r="N36" s="311"/>
    </row>
    <row r="37" spans="1:14">
      <c r="A37" s="314" t="s">
        <v>415</v>
      </c>
      <c r="B37" s="311" t="s">
        <v>360</v>
      </c>
      <c r="C37" s="311" t="s">
        <v>338</v>
      </c>
      <c r="D37" s="317">
        <v>3105.41</v>
      </c>
      <c r="E37" s="311"/>
      <c r="F37" s="311" t="s">
        <v>416</v>
      </c>
      <c r="G37" s="311"/>
      <c r="H37" s="311"/>
      <c r="I37" s="311"/>
      <c r="J37" s="311"/>
      <c r="K37" s="311"/>
      <c r="L37" s="311"/>
      <c r="M37" s="311"/>
      <c r="N37" s="311"/>
    </row>
    <row r="38" spans="1:14">
      <c r="A38" s="314" t="s">
        <v>417</v>
      </c>
      <c r="B38" s="311" t="s">
        <v>278</v>
      </c>
      <c r="C38" s="311" t="s">
        <v>338</v>
      </c>
      <c r="D38" s="318">
        <v>6.4000000000000001E-2</v>
      </c>
      <c r="E38" s="311"/>
      <c r="F38" s="311" t="s">
        <v>418</v>
      </c>
      <c r="G38" s="311"/>
      <c r="H38" s="311"/>
      <c r="I38" s="311"/>
      <c r="J38" s="311"/>
      <c r="K38" s="311"/>
      <c r="L38" s="311"/>
      <c r="M38" s="311"/>
      <c r="N38" s="311"/>
    </row>
    <row r="39" spans="1:14">
      <c r="A39" s="314" t="s">
        <v>419</v>
      </c>
      <c r="B39" s="311" t="s">
        <v>365</v>
      </c>
      <c r="C39" s="311" t="s">
        <v>338</v>
      </c>
      <c r="D39" s="311">
        <v>198.75</v>
      </c>
      <c r="E39" s="311"/>
      <c r="F39" s="311" t="s">
        <v>420</v>
      </c>
      <c r="G39" s="311"/>
      <c r="H39" s="311"/>
      <c r="I39" s="311"/>
      <c r="J39" s="311"/>
      <c r="K39" s="311"/>
      <c r="L39" s="311"/>
      <c r="M39" s="311"/>
      <c r="N39" s="311"/>
    </row>
    <row r="40" spans="1:14">
      <c r="A40" s="314" t="s">
        <v>421</v>
      </c>
      <c r="B40" s="311" t="s">
        <v>422</v>
      </c>
      <c r="C40" s="311" t="s">
        <v>338</v>
      </c>
      <c r="D40" s="311">
        <v>12.38</v>
      </c>
      <c r="E40" s="311"/>
      <c r="F40" s="311" t="s">
        <v>423</v>
      </c>
      <c r="G40" s="311"/>
      <c r="H40" s="311"/>
      <c r="I40" s="311"/>
      <c r="J40" s="311"/>
      <c r="K40" s="311"/>
      <c r="L40" s="311"/>
      <c r="M40" s="311"/>
      <c r="N40" s="311"/>
    </row>
    <row r="41" spans="1:14">
      <c r="A41" s="314" t="s">
        <v>424</v>
      </c>
      <c r="B41" s="311" t="s">
        <v>425</v>
      </c>
      <c r="C41" s="311" t="s">
        <v>338</v>
      </c>
      <c r="D41" s="311">
        <v>0</v>
      </c>
      <c r="E41" s="311"/>
      <c r="F41" s="311" t="s">
        <v>426</v>
      </c>
      <c r="G41" s="311"/>
      <c r="H41" s="311"/>
      <c r="I41" s="311"/>
      <c r="J41" s="311"/>
      <c r="K41" s="311"/>
      <c r="L41" s="311"/>
      <c r="M41" s="311"/>
      <c r="N41" s="311"/>
    </row>
    <row r="42" spans="1:14">
      <c r="A42" s="314" t="s">
        <v>427</v>
      </c>
      <c r="B42" s="311" t="s">
        <v>428</v>
      </c>
      <c r="C42" s="311" t="s">
        <v>338</v>
      </c>
      <c r="D42" s="311">
        <v>0</v>
      </c>
      <c r="E42" s="311"/>
      <c r="F42" s="311" t="s">
        <v>429</v>
      </c>
      <c r="G42" s="311"/>
      <c r="H42" s="311"/>
      <c r="I42" s="311"/>
      <c r="J42" s="311"/>
      <c r="K42" s="311"/>
      <c r="L42" s="311"/>
      <c r="M42" s="311"/>
      <c r="N42" s="311"/>
    </row>
    <row r="43" spans="1:14">
      <c r="A43" s="314" t="s">
        <v>430</v>
      </c>
      <c r="B43" s="311" t="s">
        <v>431</v>
      </c>
      <c r="C43" s="311" t="s">
        <v>338</v>
      </c>
      <c r="D43" s="311">
        <v>0</v>
      </c>
      <c r="E43" s="311"/>
      <c r="F43" s="311" t="s">
        <v>432</v>
      </c>
      <c r="G43" s="311"/>
      <c r="H43" s="311"/>
      <c r="I43" s="311"/>
      <c r="J43" s="311"/>
      <c r="K43" s="311"/>
      <c r="L43" s="311"/>
      <c r="M43" s="311"/>
      <c r="N43" s="311"/>
    </row>
    <row r="44" spans="1:14">
      <c r="A44" s="314" t="s">
        <v>433</v>
      </c>
      <c r="B44" s="311" t="s">
        <v>434</v>
      </c>
      <c r="C44" s="311" t="s">
        <v>338</v>
      </c>
      <c r="D44" s="311">
        <v>0</v>
      </c>
      <c r="E44" s="311"/>
      <c r="F44" s="311" t="s">
        <v>435</v>
      </c>
      <c r="G44" s="311"/>
      <c r="H44" s="311"/>
      <c r="I44" s="311"/>
      <c r="J44" s="311"/>
      <c r="K44" s="311"/>
      <c r="L44" s="311"/>
      <c r="M44" s="311"/>
      <c r="N44" s="311"/>
    </row>
    <row r="45" spans="1:14">
      <c r="A45" s="315" t="s">
        <v>436</v>
      </c>
      <c r="B45" s="316" t="s">
        <v>437</v>
      </c>
      <c r="C45" s="316"/>
      <c r="D45" s="316"/>
      <c r="E45" s="316"/>
      <c r="F45" s="316"/>
      <c r="G45" s="316"/>
      <c r="H45" s="316"/>
      <c r="I45" s="319"/>
      <c r="J45" s="319"/>
      <c r="K45" s="319"/>
      <c r="L45" s="316"/>
      <c r="M45" s="319"/>
      <c r="N45" s="319"/>
    </row>
    <row r="46" spans="1:14">
      <c r="A46" s="314" t="s">
        <v>438</v>
      </c>
      <c r="B46" s="311" t="s">
        <v>439</v>
      </c>
      <c r="C46" s="311" t="s">
        <v>338</v>
      </c>
      <c r="D46" s="311">
        <v>0</v>
      </c>
      <c r="E46" s="311"/>
      <c r="F46" s="311" t="s">
        <v>440</v>
      </c>
      <c r="G46" s="311"/>
      <c r="H46" s="311"/>
      <c r="I46" s="311"/>
      <c r="J46" s="311"/>
      <c r="K46" s="311"/>
      <c r="L46" s="311"/>
      <c r="M46" s="311"/>
      <c r="N46" s="311"/>
    </row>
    <row r="47" spans="1:14">
      <c r="A47" s="314" t="s">
        <v>441</v>
      </c>
      <c r="B47" s="311" t="s">
        <v>442</v>
      </c>
      <c r="C47" s="311" t="s">
        <v>338</v>
      </c>
      <c r="D47" s="311">
        <v>0</v>
      </c>
      <c r="E47" s="311"/>
      <c r="F47" s="311" t="s">
        <v>443</v>
      </c>
      <c r="G47" s="311"/>
      <c r="H47" s="311"/>
      <c r="I47" s="311"/>
      <c r="J47" s="311"/>
      <c r="K47" s="311"/>
      <c r="L47" s="311"/>
      <c r="M47" s="311"/>
      <c r="N47" s="311"/>
    </row>
    <row r="48" spans="1:14">
      <c r="A48" s="313" t="s">
        <v>444</v>
      </c>
      <c r="B48" s="312" t="s">
        <v>445</v>
      </c>
      <c r="C48" s="312" t="s">
        <v>338</v>
      </c>
      <c r="D48" s="312">
        <v>0</v>
      </c>
      <c r="E48" s="312"/>
      <c r="F48" s="312" t="s">
        <v>446</v>
      </c>
      <c r="G48" s="312"/>
      <c r="H48" s="312"/>
      <c r="I48" s="319"/>
      <c r="J48" s="319"/>
      <c r="K48" s="319"/>
      <c r="L48" s="312"/>
      <c r="M48" s="319"/>
      <c r="N48" s="319"/>
    </row>
    <row r="49" spans="1:14">
      <c r="A49" s="315" t="s">
        <v>447</v>
      </c>
      <c r="B49" s="316" t="s">
        <v>448</v>
      </c>
      <c r="C49" s="316"/>
      <c r="D49" s="316"/>
      <c r="E49" s="316"/>
      <c r="F49" s="316"/>
      <c r="G49" s="316"/>
      <c r="H49" s="316"/>
      <c r="I49" s="319"/>
      <c r="J49" s="319"/>
      <c r="K49" s="319"/>
      <c r="L49" s="316"/>
      <c r="M49" s="319"/>
      <c r="N49" s="319"/>
    </row>
    <row r="50" spans="1:14">
      <c r="A50" s="314" t="s">
        <v>449</v>
      </c>
      <c r="B50" s="311" t="s">
        <v>450</v>
      </c>
      <c r="C50" s="311" t="s">
        <v>338</v>
      </c>
      <c r="D50" s="311">
        <v>0</v>
      </c>
      <c r="E50" s="311"/>
      <c r="F50" s="311" t="s">
        <v>451</v>
      </c>
      <c r="G50" s="311"/>
      <c r="H50" s="311"/>
      <c r="I50" s="311"/>
      <c r="J50" s="311"/>
      <c r="K50" s="311"/>
      <c r="L50" s="311"/>
      <c r="M50" s="311"/>
      <c r="N50" s="311"/>
    </row>
    <row r="51" spans="1:14">
      <c r="A51" s="314" t="s">
        <v>452</v>
      </c>
      <c r="B51" s="311" t="s">
        <v>453</v>
      </c>
      <c r="C51" s="311" t="s">
        <v>338</v>
      </c>
      <c r="D51" s="311">
        <v>272.81</v>
      </c>
      <c r="E51" s="311"/>
      <c r="F51" s="311" t="s">
        <v>454</v>
      </c>
      <c r="G51" s="311"/>
      <c r="H51" s="311"/>
      <c r="I51" s="311"/>
      <c r="J51" s="311"/>
      <c r="K51" s="311"/>
      <c r="L51" s="311"/>
      <c r="M51" s="311"/>
      <c r="N51" s="311"/>
    </row>
    <row r="52" spans="1:14">
      <c r="A52" s="314" t="s">
        <v>455</v>
      </c>
      <c r="B52" s="311" t="s">
        <v>456</v>
      </c>
      <c r="C52" s="311" t="s">
        <v>338</v>
      </c>
      <c r="D52" s="311">
        <v>0</v>
      </c>
      <c r="E52" s="311"/>
      <c r="F52" s="311" t="s">
        <v>457</v>
      </c>
      <c r="G52" s="311"/>
      <c r="H52" s="311"/>
      <c r="I52" s="311"/>
      <c r="J52" s="311"/>
      <c r="K52" s="311"/>
      <c r="L52" s="311"/>
      <c r="M52" s="311"/>
      <c r="N52" s="311"/>
    </row>
    <row r="53" spans="1:14">
      <c r="A53" s="315" t="s">
        <v>458</v>
      </c>
      <c r="B53" s="316" t="s">
        <v>459</v>
      </c>
      <c r="C53" s="316"/>
      <c r="D53" s="316"/>
      <c r="E53" s="316"/>
      <c r="F53" s="316"/>
      <c r="G53" s="316"/>
      <c r="H53" s="316"/>
      <c r="I53" s="319"/>
      <c r="J53" s="319"/>
      <c r="K53" s="319"/>
      <c r="L53" s="316"/>
      <c r="M53" s="319"/>
      <c r="N53" s="319"/>
    </row>
    <row r="54" spans="1:14">
      <c r="A54" s="314" t="s">
        <v>460</v>
      </c>
      <c r="B54" s="311" t="s">
        <v>461</v>
      </c>
      <c r="C54" s="311" t="s">
        <v>338</v>
      </c>
      <c r="D54" s="311">
        <v>0</v>
      </c>
      <c r="E54" s="311"/>
      <c r="F54" s="311" t="s">
        <v>462</v>
      </c>
      <c r="G54" s="311"/>
      <c r="H54" s="311"/>
      <c r="I54" s="311"/>
      <c r="J54" s="311"/>
      <c r="K54" s="311"/>
      <c r="L54" s="311"/>
      <c r="M54" s="311"/>
      <c r="N54" s="311"/>
    </row>
    <row r="55" spans="1:14">
      <c r="A55" s="314" t="s">
        <v>463</v>
      </c>
      <c r="B55" s="311" t="s">
        <v>464</v>
      </c>
      <c r="C55" s="311" t="s">
        <v>338</v>
      </c>
      <c r="D55" s="311">
        <v>0</v>
      </c>
      <c r="E55" s="311"/>
      <c r="F55" s="311" t="s">
        <v>465</v>
      </c>
      <c r="G55" s="311"/>
      <c r="H55" s="311"/>
      <c r="I55" s="311"/>
      <c r="J55" s="311"/>
      <c r="K55" s="311"/>
      <c r="L55" s="311"/>
      <c r="M55" s="311"/>
      <c r="N55" s="311"/>
    </row>
    <row r="56" spans="1:14">
      <c r="A56" s="314" t="s">
        <v>466</v>
      </c>
      <c r="B56" s="311" t="s">
        <v>467</v>
      </c>
      <c r="C56" s="311" t="s">
        <v>338</v>
      </c>
      <c r="D56" s="311">
        <v>0</v>
      </c>
      <c r="E56" s="311"/>
      <c r="F56" s="311" t="s">
        <v>468</v>
      </c>
      <c r="G56" s="311"/>
      <c r="H56" s="311"/>
      <c r="I56" s="311"/>
      <c r="J56" s="311"/>
      <c r="K56" s="311"/>
      <c r="L56" s="311"/>
      <c r="M56" s="311"/>
      <c r="N56" s="311"/>
    </row>
    <row r="57" spans="1:14">
      <c r="A57" s="314" t="s">
        <v>469</v>
      </c>
      <c r="B57" s="311" t="s">
        <v>470</v>
      </c>
      <c r="C57" s="311" t="s">
        <v>338</v>
      </c>
      <c r="D57" s="311">
        <v>0</v>
      </c>
      <c r="E57" s="311"/>
      <c r="F57" s="311" t="s">
        <v>471</v>
      </c>
      <c r="G57" s="311"/>
      <c r="H57" s="311"/>
      <c r="I57" s="311"/>
      <c r="J57" s="311"/>
      <c r="K57" s="311"/>
      <c r="L57" s="311"/>
      <c r="M57" s="311"/>
      <c r="N57" s="311"/>
    </row>
    <row r="58" spans="1:14">
      <c r="A58" s="314" t="s">
        <v>472</v>
      </c>
      <c r="B58" s="311" t="s">
        <v>473</v>
      </c>
      <c r="C58" s="311" t="s">
        <v>338</v>
      </c>
      <c r="D58" s="311">
        <v>0</v>
      </c>
      <c r="E58" s="311"/>
      <c r="F58" s="311" t="s">
        <v>474</v>
      </c>
      <c r="G58" s="311"/>
      <c r="H58" s="311"/>
      <c r="I58" s="311"/>
      <c r="J58" s="311"/>
      <c r="K58" s="311"/>
      <c r="L58" s="311"/>
      <c r="M58" s="311"/>
      <c r="N58" s="311"/>
    </row>
    <row r="59" spans="1:14">
      <c r="A59" s="314" t="s">
        <v>475</v>
      </c>
      <c r="B59" s="311" t="s">
        <v>476</v>
      </c>
      <c r="C59" s="311" t="s">
        <v>338</v>
      </c>
      <c r="D59" s="311">
        <v>0</v>
      </c>
      <c r="E59" s="311"/>
      <c r="F59" s="311" t="s">
        <v>477</v>
      </c>
      <c r="G59" s="311"/>
      <c r="H59" s="311"/>
      <c r="I59" s="311"/>
      <c r="J59" s="311"/>
      <c r="K59" s="311"/>
      <c r="L59" s="311"/>
      <c r="M59" s="311"/>
      <c r="N59" s="311"/>
    </row>
    <row r="60" spans="1:14">
      <c r="A60" s="314" t="s">
        <v>478</v>
      </c>
      <c r="B60" s="311" t="s">
        <v>479</v>
      </c>
      <c r="C60" s="311" t="s">
        <v>338</v>
      </c>
      <c r="D60" s="311">
        <v>0</v>
      </c>
      <c r="E60" s="311"/>
      <c r="F60" s="311" t="s">
        <v>480</v>
      </c>
      <c r="G60" s="311"/>
      <c r="H60" s="311"/>
      <c r="I60" s="311"/>
      <c r="J60" s="311"/>
      <c r="K60" s="311"/>
      <c r="L60" s="311"/>
      <c r="M60" s="311"/>
      <c r="N60" s="311"/>
    </row>
    <row r="61" spans="1:14">
      <c r="A61" s="314" t="s">
        <v>481</v>
      </c>
      <c r="B61" s="311" t="s">
        <v>482</v>
      </c>
      <c r="C61" s="311" t="s">
        <v>338</v>
      </c>
      <c r="D61" s="311">
        <v>0</v>
      </c>
      <c r="E61" s="311"/>
      <c r="F61" s="311" t="s">
        <v>483</v>
      </c>
      <c r="G61" s="311"/>
      <c r="H61" s="311"/>
      <c r="I61" s="311"/>
      <c r="J61" s="311"/>
      <c r="K61" s="311"/>
      <c r="L61" s="311"/>
      <c r="M61" s="311"/>
      <c r="N61" s="311"/>
    </row>
    <row r="62" spans="1:14">
      <c r="A62" s="315" t="s">
        <v>484</v>
      </c>
      <c r="B62" s="316" t="s">
        <v>485</v>
      </c>
      <c r="C62" s="316"/>
      <c r="D62" s="316"/>
      <c r="E62" s="316"/>
      <c r="F62" s="316"/>
      <c r="G62" s="316"/>
      <c r="H62" s="316"/>
      <c r="I62" s="319"/>
      <c r="J62" s="319"/>
      <c r="K62" s="319"/>
      <c r="L62" s="316"/>
      <c r="M62" s="319"/>
      <c r="N62" s="319"/>
    </row>
    <row r="63" spans="1:14">
      <c r="A63" s="314" t="s">
        <v>486</v>
      </c>
      <c r="B63" s="311" t="s">
        <v>487</v>
      </c>
      <c r="C63" s="311" t="s">
        <v>338</v>
      </c>
      <c r="D63" s="311" t="s">
        <v>488</v>
      </c>
      <c r="E63" s="311"/>
      <c r="F63" s="311" t="s">
        <v>489</v>
      </c>
      <c r="G63" s="311"/>
      <c r="H63" s="311"/>
      <c r="I63" s="311"/>
      <c r="J63" s="311"/>
      <c r="K63" s="311"/>
      <c r="L63" s="311"/>
      <c r="M63" s="311"/>
      <c r="N63" s="311"/>
    </row>
    <row r="64" spans="1:14">
      <c r="A64" s="314" t="s">
        <v>490</v>
      </c>
      <c r="B64" s="311" t="s">
        <v>491</v>
      </c>
      <c r="C64" s="311" t="s">
        <v>338</v>
      </c>
      <c r="D64" s="311" t="s">
        <v>488</v>
      </c>
      <c r="E64" s="311"/>
      <c r="F64" s="311" t="s">
        <v>492</v>
      </c>
      <c r="G64" s="311"/>
      <c r="H64" s="311"/>
      <c r="I64" s="311"/>
      <c r="J64" s="311"/>
      <c r="K64" s="311"/>
      <c r="L64" s="311"/>
      <c r="M64" s="311"/>
      <c r="N64" s="311"/>
    </row>
    <row r="65" spans="1:6">
      <c r="A65" s="314" t="s">
        <v>493</v>
      </c>
      <c r="B65" s="311" t="s">
        <v>494</v>
      </c>
      <c r="C65" s="311" t="s">
        <v>338</v>
      </c>
      <c r="D65" s="311" t="s">
        <v>488</v>
      </c>
      <c r="E65" s="311"/>
      <c r="F65" s="311" t="s">
        <v>495</v>
      </c>
    </row>
    <row r="66" spans="1:6">
      <c r="A66" s="314" t="s">
        <v>496</v>
      </c>
      <c r="B66" s="311" t="s">
        <v>497</v>
      </c>
      <c r="C66" s="311" t="s">
        <v>338</v>
      </c>
      <c r="D66" s="311" t="s">
        <v>498</v>
      </c>
      <c r="E66" s="311"/>
      <c r="F66" s="311" t="s">
        <v>499</v>
      </c>
    </row>
    <row r="67" spans="1:6">
      <c r="A67" s="314" t="s">
        <v>500</v>
      </c>
      <c r="B67" s="311" t="s">
        <v>501</v>
      </c>
      <c r="C67" s="311" t="s">
        <v>338</v>
      </c>
      <c r="D67" s="311" t="s">
        <v>488</v>
      </c>
      <c r="E67" s="311"/>
      <c r="F67" s="311" t="s">
        <v>502</v>
      </c>
    </row>
    <row r="68" spans="1:6">
      <c r="A68" s="314" t="s">
        <v>503</v>
      </c>
      <c r="B68" s="311"/>
      <c r="C68" s="311"/>
      <c r="D68" s="311"/>
      <c r="E68" s="311"/>
      <c r="F68" s="311"/>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J39"/>
  <sheetViews>
    <sheetView showGridLines="0" topLeftCell="A4" workbookViewId="0">
      <selection activeCell="O3" sqref="O3"/>
    </sheetView>
  </sheetViews>
  <sheetFormatPr baseColWidth="10" defaultColWidth="10.85546875" defaultRowHeight="15"/>
  <cols>
    <col min="1" max="1" width="10.85546875" style="181"/>
    <col min="2" max="2" width="14.7109375" style="262" bestFit="1" customWidth="1"/>
    <col min="3" max="3" width="40.85546875" style="181" bestFit="1" customWidth="1"/>
    <col min="4" max="6" width="14.140625" style="181" customWidth="1"/>
    <col min="7" max="7" width="13.140625" style="181" customWidth="1"/>
    <col min="8" max="12" width="12.42578125" style="262" customWidth="1"/>
    <col min="13" max="14" width="12.140625" style="181" hidden="1" customWidth="1"/>
    <col min="15" max="17" width="12.5703125" style="181" customWidth="1"/>
    <col min="18" max="1023" width="10.85546875" style="181"/>
    <col min="1024" max="1024" width="11.5703125" customWidth="1"/>
  </cols>
  <sheetData>
    <row r="2" spans="1:1024">
      <c r="B2" s="275"/>
    </row>
    <row r="3" spans="1:1024">
      <c r="B3" s="275"/>
      <c r="M3" s="263"/>
      <c r="N3" s="263"/>
      <c r="O3" s="289">
        <f>365/12</f>
        <v>30.416666666666668</v>
      </c>
    </row>
    <row r="4" spans="1:1024" ht="15.75" thickBot="1">
      <c r="O4" s="282">
        <v>15</v>
      </c>
      <c r="P4" s="181">
        <v>15</v>
      </c>
      <c r="Q4" s="181">
        <v>15</v>
      </c>
    </row>
    <row r="5" spans="1:1024" s="261" customFormat="1" ht="15" customHeight="1" thickBot="1">
      <c r="B5" s="264" t="s">
        <v>274</v>
      </c>
      <c r="C5" s="264"/>
      <c r="D5" s="265" t="s">
        <v>275</v>
      </c>
      <c r="E5" s="277" t="s">
        <v>187</v>
      </c>
      <c r="F5" s="277" t="s">
        <v>283</v>
      </c>
      <c r="G5" s="266" t="s">
        <v>284</v>
      </c>
      <c r="H5" s="266" t="s">
        <v>276</v>
      </c>
      <c r="I5" s="266" t="s">
        <v>277</v>
      </c>
      <c r="J5" s="266" t="s">
        <v>278</v>
      </c>
      <c r="K5" s="266" t="s">
        <v>279</v>
      </c>
      <c r="L5" s="266" t="s">
        <v>280</v>
      </c>
      <c r="M5" s="267" t="s">
        <v>272</v>
      </c>
      <c r="N5" s="277" t="s">
        <v>287</v>
      </c>
      <c r="O5" s="281" t="s">
        <v>286</v>
      </c>
      <c r="P5" s="281" t="s">
        <v>288</v>
      </c>
      <c r="Q5" s="281" t="s">
        <v>289</v>
      </c>
      <c r="AMJ5"/>
    </row>
    <row r="6" spans="1:1024" s="261" customFormat="1" ht="15.75" thickBot="1">
      <c r="B6" s="264"/>
      <c r="C6" s="264"/>
      <c r="D6" s="265"/>
      <c r="E6" s="278"/>
      <c r="F6" s="278"/>
      <c r="G6" s="266"/>
      <c r="H6" s="266"/>
      <c r="I6" s="266"/>
      <c r="J6" s="266"/>
      <c r="K6" s="266"/>
      <c r="L6" s="266"/>
      <c r="M6" s="267"/>
      <c r="N6" s="278"/>
      <c r="O6" s="281"/>
      <c r="P6" s="281"/>
      <c r="Q6" s="281"/>
      <c r="AMJ6"/>
    </row>
    <row r="7" spans="1:1024" s="261" customFormat="1" ht="15.75" thickBot="1">
      <c r="A7" s="268"/>
      <c r="B7" s="269" t="s">
        <v>282</v>
      </c>
      <c r="C7" s="270" t="s">
        <v>281</v>
      </c>
      <c r="D7" s="265"/>
      <c r="E7" s="279"/>
      <c r="F7" s="279"/>
      <c r="G7" s="266"/>
      <c r="H7" s="266"/>
      <c r="I7" s="266"/>
      <c r="J7" s="266"/>
      <c r="K7" s="266"/>
      <c r="L7" s="266"/>
      <c r="M7" s="267"/>
      <c r="N7" s="279"/>
      <c r="O7" s="281"/>
      <c r="P7" s="281"/>
      <c r="Q7" s="281"/>
      <c r="AMJ7"/>
    </row>
    <row r="8" spans="1:1024">
      <c r="B8" s="276"/>
      <c r="C8" s="271"/>
      <c r="D8" s="271"/>
      <c r="E8" s="271"/>
      <c r="F8" s="271"/>
      <c r="G8" s="271"/>
      <c r="H8" s="272"/>
      <c r="I8" s="272"/>
      <c r="J8" s="272"/>
      <c r="K8" s="272"/>
      <c r="L8" s="272"/>
      <c r="M8" s="271"/>
      <c r="N8" s="271"/>
    </row>
    <row r="9" spans="1:1024" ht="16.5">
      <c r="A9" s="262"/>
      <c r="B9" s="273">
        <v>1</v>
      </c>
      <c r="C9" s="283" t="str">
        <f>[3]NÓMINA!B9</f>
        <v>KATIA ALEJANDRA MAQUEDA PINEDA</v>
      </c>
      <c r="D9" s="273">
        <v>15</v>
      </c>
      <c r="E9" s="287">
        <v>209</v>
      </c>
      <c r="F9" s="287">
        <f>E9*D9</f>
        <v>3135</v>
      </c>
      <c r="G9" s="288">
        <f>F9/15*$O$3</f>
        <v>6357.0833333333339</v>
      </c>
      <c r="H9" s="274">
        <f>VLOOKUP(G9,'2'!C$191:F$201,1,TRUE())</f>
        <v>6332.06</v>
      </c>
      <c r="I9" s="274">
        <f>G9-H9</f>
        <v>25.023333333333539</v>
      </c>
      <c r="J9" s="284">
        <f>VLOOKUP(G9,'2'!C$191:F$201,4,TRUE())</f>
        <v>0.10880000000000001</v>
      </c>
      <c r="K9" s="274">
        <f>I9*J9</f>
        <v>2.7225386666666891</v>
      </c>
      <c r="L9" s="274">
        <f>VLOOKUP(G9,'2'!C$191:F$201,3,TRUE())</f>
        <v>371.83</v>
      </c>
      <c r="M9" s="280">
        <f t="shared" ref="M9:M39" si="0">K9+L9</f>
        <v>374.55253866666669</v>
      </c>
      <c r="N9" s="280">
        <f>VLOOKUP(G9,'2'!H$191:J$201,3,TRUE())</f>
        <v>253.54</v>
      </c>
      <c r="O9" s="135">
        <f>M9/$O$3*$O$4</f>
        <v>184.71084098630138</v>
      </c>
      <c r="P9" s="135">
        <f>N9/$O$3*$P$4</f>
        <v>125.03342465753424</v>
      </c>
      <c r="Q9" s="135">
        <f>O9-P9</f>
        <v>59.677416328767137</v>
      </c>
      <c r="R9" s="263"/>
    </row>
    <row r="10" spans="1:1024" ht="16.5">
      <c r="A10" s="262"/>
      <c r="B10" s="273">
        <v>2</v>
      </c>
      <c r="C10" s="283" t="s">
        <v>285</v>
      </c>
      <c r="D10" s="273">
        <v>15</v>
      </c>
      <c r="E10" s="287">
        <v>300</v>
      </c>
      <c r="F10" s="287">
        <f t="shared" ref="F10:F39" si="1">E10*D10</f>
        <v>4500</v>
      </c>
      <c r="G10" s="288">
        <f t="shared" ref="G10:G39" si="2">F10/15*$O$3</f>
        <v>9125</v>
      </c>
      <c r="H10" s="274">
        <f>VLOOKUP(G10,'2'!C$191:F$201,1,TRUE())</f>
        <v>6332.06</v>
      </c>
      <c r="I10" s="274">
        <f t="shared" ref="I10:I39" si="3">G10-H10</f>
        <v>2792.9399999999996</v>
      </c>
      <c r="J10" s="284">
        <f>VLOOKUP(G10,'2'!C$191:F$201,4,TRUE())</f>
        <v>0.10880000000000001</v>
      </c>
      <c r="K10" s="274">
        <f t="shared" ref="K10:K39" si="4">I10*J10</f>
        <v>303.871872</v>
      </c>
      <c r="L10" s="274">
        <f>VLOOKUP(G10,'2'!C$191:F$201,3,TRUE())</f>
        <v>371.83</v>
      </c>
      <c r="M10" s="280">
        <f t="shared" ref="M10:M39" si="5">K10+L10</f>
        <v>675.70187199999998</v>
      </c>
      <c r="N10" s="280">
        <f>VLOOKUP(G10,'2'!H$191:J$201,3,TRUE())</f>
        <v>0</v>
      </c>
      <c r="O10" s="135">
        <f t="shared" ref="O10:O39" si="6">M10/$O$3*$O$4</f>
        <v>333.22284098630132</v>
      </c>
      <c r="P10" s="135">
        <f t="shared" ref="P10:P39" si="7">N10/$O$3*$P$4</f>
        <v>0</v>
      </c>
      <c r="Q10" s="135">
        <f t="shared" ref="Q10:Q39" si="8">O10-P10</f>
        <v>333.22284098630132</v>
      </c>
      <c r="R10" s="263"/>
    </row>
    <row r="11" spans="1:1024" ht="16.5">
      <c r="A11" s="262"/>
      <c r="B11" s="273">
        <v>3</v>
      </c>
      <c r="C11" s="283" t="s">
        <v>292</v>
      </c>
      <c r="D11" s="273">
        <v>15</v>
      </c>
      <c r="E11" s="287">
        <v>350</v>
      </c>
      <c r="F11" s="287">
        <f t="shared" si="1"/>
        <v>5250</v>
      </c>
      <c r="G11" s="288">
        <f t="shared" si="2"/>
        <v>10645.833333333334</v>
      </c>
      <c r="H11" s="274">
        <f>VLOOKUP(G11,'2'!C$191:F$201,1,TRUE())</f>
        <v>6332.06</v>
      </c>
      <c r="I11" s="274">
        <f t="shared" si="3"/>
        <v>4313.7733333333335</v>
      </c>
      <c r="J11" s="284">
        <f>VLOOKUP(G11,'2'!C$191:F$201,4,TRUE())</f>
        <v>0.10880000000000001</v>
      </c>
      <c r="K11" s="274">
        <f t="shared" si="4"/>
        <v>469.33853866666675</v>
      </c>
      <c r="L11" s="274">
        <f>VLOOKUP(G11,'2'!C$191:F$201,3,TRUE())</f>
        <v>371.83</v>
      </c>
      <c r="M11" s="280">
        <f t="shared" si="5"/>
        <v>841.16853866666679</v>
      </c>
      <c r="N11" s="280">
        <f>VLOOKUP(G11,'2'!H$191:J$201,3,TRUE())</f>
        <v>0</v>
      </c>
      <c r="O11" s="135">
        <f t="shared" si="6"/>
        <v>414.8228409863014</v>
      </c>
      <c r="P11" s="135">
        <f t="shared" si="7"/>
        <v>0</v>
      </c>
      <c r="Q11" s="135">
        <f t="shared" si="8"/>
        <v>414.8228409863014</v>
      </c>
      <c r="R11" s="263"/>
    </row>
    <row r="12" spans="1:1024" ht="16.5">
      <c r="A12" s="262"/>
      <c r="B12" s="273">
        <v>4</v>
      </c>
      <c r="C12" s="283" t="s">
        <v>293</v>
      </c>
      <c r="D12" s="273">
        <v>15</v>
      </c>
      <c r="E12" s="287">
        <v>221</v>
      </c>
      <c r="F12" s="287">
        <f t="shared" si="1"/>
        <v>3315</v>
      </c>
      <c r="G12" s="288">
        <f t="shared" si="2"/>
        <v>6722.0833333333339</v>
      </c>
      <c r="H12" s="274">
        <f>VLOOKUP(G12,'2'!C$191:F$201,1,TRUE())</f>
        <v>6332.06</v>
      </c>
      <c r="I12" s="274">
        <f t="shared" si="3"/>
        <v>390.02333333333354</v>
      </c>
      <c r="J12" s="284">
        <f>VLOOKUP(G12,'2'!C$191:F$201,4,TRUE())</f>
        <v>0.10880000000000001</v>
      </c>
      <c r="K12" s="274">
        <f t="shared" si="4"/>
        <v>42.43453866666669</v>
      </c>
      <c r="L12" s="274">
        <f>VLOOKUP(G12,'2'!C$191:F$201,3,TRUE())</f>
        <v>371.83</v>
      </c>
      <c r="M12" s="280">
        <f t="shared" si="5"/>
        <v>414.26453866666668</v>
      </c>
      <c r="N12" s="280">
        <f>VLOOKUP(G12,'2'!H$191:J$201,3,TRUE())</f>
        <v>253.54</v>
      </c>
      <c r="O12" s="135">
        <f t="shared" si="6"/>
        <v>204.29484098630138</v>
      </c>
      <c r="P12" s="135">
        <f t="shared" si="7"/>
        <v>125.03342465753424</v>
      </c>
      <c r="Q12" s="135">
        <f t="shared" si="8"/>
        <v>79.26141632876714</v>
      </c>
      <c r="R12" s="263"/>
    </row>
    <row r="13" spans="1:1024" ht="16.5">
      <c r="A13" s="262"/>
      <c r="B13" s="273">
        <v>5</v>
      </c>
      <c r="C13" s="283" t="s">
        <v>294</v>
      </c>
      <c r="D13" s="273">
        <v>15</v>
      </c>
      <c r="E13" s="287">
        <v>210</v>
      </c>
      <c r="F13" s="287">
        <f t="shared" si="1"/>
        <v>3150</v>
      </c>
      <c r="G13" s="288">
        <f t="shared" si="2"/>
        <v>6387.5</v>
      </c>
      <c r="H13" s="274">
        <f>VLOOKUP(G13,'2'!C$191:F$201,1,TRUE())</f>
        <v>6332.06</v>
      </c>
      <c r="I13" s="274">
        <f t="shared" si="3"/>
        <v>55.4399999999996</v>
      </c>
      <c r="J13" s="284">
        <f>VLOOKUP(G13,'2'!C$191:F$201,4,TRUE())</f>
        <v>0.10880000000000001</v>
      </c>
      <c r="K13" s="274">
        <f t="shared" si="4"/>
        <v>6.0318719999999573</v>
      </c>
      <c r="L13" s="274">
        <f>VLOOKUP(G13,'2'!C$191:F$201,3,TRUE())</f>
        <v>371.83</v>
      </c>
      <c r="M13" s="280">
        <f t="shared" si="5"/>
        <v>377.86187199999995</v>
      </c>
      <c r="N13" s="280">
        <f>VLOOKUP(G13,'2'!H$191:J$201,3,TRUE())</f>
        <v>253.54</v>
      </c>
      <c r="O13" s="135">
        <f t="shared" si="6"/>
        <v>186.34284098630133</v>
      </c>
      <c r="P13" s="135">
        <f t="shared" si="7"/>
        <v>125.03342465753424</v>
      </c>
      <c r="Q13" s="135">
        <f t="shared" si="8"/>
        <v>61.309416328767085</v>
      </c>
      <c r="R13" s="263"/>
    </row>
    <row r="14" spans="1:1024" ht="16.5">
      <c r="A14" s="262"/>
      <c r="B14" s="273">
        <v>6</v>
      </c>
      <c r="C14" s="283" t="s">
        <v>295</v>
      </c>
      <c r="D14" s="273">
        <v>15</v>
      </c>
      <c r="E14" s="287">
        <v>215</v>
      </c>
      <c r="F14" s="287">
        <f t="shared" si="1"/>
        <v>3225</v>
      </c>
      <c r="G14" s="288">
        <f t="shared" si="2"/>
        <v>6539.5833333333339</v>
      </c>
      <c r="H14" s="274">
        <f>VLOOKUP(G14,'2'!C$191:F$201,1,TRUE())</f>
        <v>6332.06</v>
      </c>
      <c r="I14" s="274">
        <f t="shared" si="3"/>
        <v>207.52333333333354</v>
      </c>
      <c r="J14" s="284">
        <f>VLOOKUP(G14,'2'!C$191:F$201,4,TRUE())</f>
        <v>0.10880000000000001</v>
      </c>
      <c r="K14" s="274">
        <f t="shared" si="4"/>
        <v>22.578538666666692</v>
      </c>
      <c r="L14" s="274">
        <f>VLOOKUP(G14,'2'!C$191:F$201,3,TRUE())</f>
        <v>371.83</v>
      </c>
      <c r="M14" s="280">
        <f t="shared" si="5"/>
        <v>394.40853866666669</v>
      </c>
      <c r="N14" s="280">
        <f>VLOOKUP(G14,'2'!H$191:J$201,3,TRUE())</f>
        <v>253.54</v>
      </c>
      <c r="O14" s="135">
        <f t="shared" si="6"/>
        <v>194.50284098630135</v>
      </c>
      <c r="P14" s="135">
        <f t="shared" si="7"/>
        <v>125.03342465753424</v>
      </c>
      <c r="Q14" s="135">
        <f t="shared" si="8"/>
        <v>69.46941632876711</v>
      </c>
      <c r="R14" s="263"/>
    </row>
    <row r="15" spans="1:1024" ht="16.5">
      <c r="A15" s="262"/>
      <c r="B15" s="273">
        <v>7</v>
      </c>
      <c r="C15" s="283" t="s">
        <v>296</v>
      </c>
      <c r="D15" s="273">
        <v>15</v>
      </c>
      <c r="E15" s="287">
        <v>212</v>
      </c>
      <c r="F15" s="287">
        <f t="shared" si="1"/>
        <v>3180</v>
      </c>
      <c r="G15" s="288">
        <f t="shared" si="2"/>
        <v>6448.3333333333339</v>
      </c>
      <c r="H15" s="274">
        <f>VLOOKUP(G15,'2'!C$191:F$201,1,TRUE())</f>
        <v>6332.06</v>
      </c>
      <c r="I15" s="274">
        <f t="shared" si="3"/>
        <v>116.27333333333354</v>
      </c>
      <c r="J15" s="284">
        <f>VLOOKUP(G15,'2'!C$191:F$201,4,TRUE())</f>
        <v>0.10880000000000001</v>
      </c>
      <c r="K15" s="274">
        <f t="shared" si="4"/>
        <v>12.650538666666691</v>
      </c>
      <c r="L15" s="274">
        <f>VLOOKUP(G15,'2'!C$191:F$201,3,TRUE())</f>
        <v>371.83</v>
      </c>
      <c r="M15" s="280">
        <f t="shared" si="5"/>
        <v>384.48053866666669</v>
      </c>
      <c r="N15" s="280">
        <f>VLOOKUP(G15,'2'!H$191:J$201,3,TRUE())</f>
        <v>253.54</v>
      </c>
      <c r="O15" s="135">
        <f t="shared" si="6"/>
        <v>189.60684098630136</v>
      </c>
      <c r="P15" s="135">
        <f t="shared" si="7"/>
        <v>125.03342465753424</v>
      </c>
      <c r="Q15" s="135">
        <f t="shared" si="8"/>
        <v>64.573416328767124</v>
      </c>
      <c r="R15" s="263"/>
    </row>
    <row r="16" spans="1:1024" ht="16.5">
      <c r="A16" s="262"/>
      <c r="B16" s="273">
        <v>8</v>
      </c>
      <c r="C16" s="283" t="s">
        <v>297</v>
      </c>
      <c r="D16" s="273">
        <v>15</v>
      </c>
      <c r="E16" s="287">
        <v>785</v>
      </c>
      <c r="F16" s="287">
        <f t="shared" si="1"/>
        <v>11775</v>
      </c>
      <c r="G16" s="288">
        <f t="shared" si="2"/>
        <v>23877.083333333336</v>
      </c>
      <c r="H16" s="274">
        <f>VLOOKUP(G16,'2'!C$191:F$201,1,TRUE())</f>
        <v>15487.72</v>
      </c>
      <c r="I16" s="274">
        <f t="shared" si="3"/>
        <v>8389.3633333333364</v>
      </c>
      <c r="J16" s="284">
        <f>VLOOKUP(G16,'2'!C$191:F$201,4,TRUE())</f>
        <v>0.21359999999999998</v>
      </c>
      <c r="K16" s="274">
        <f t="shared" si="4"/>
        <v>1791.9680080000005</v>
      </c>
      <c r="L16" s="274">
        <f>VLOOKUP(G16,'2'!C$191:F$201,3,TRUE())</f>
        <v>1640.18</v>
      </c>
      <c r="M16" s="280">
        <f t="shared" si="5"/>
        <v>3432.1480080000006</v>
      </c>
      <c r="N16" s="280">
        <f>VLOOKUP(G16,'2'!H$191:J$201,3,TRUE())</f>
        <v>0</v>
      </c>
      <c r="O16" s="135">
        <f t="shared" si="6"/>
        <v>1692.5661409315071</v>
      </c>
      <c r="P16" s="135">
        <f t="shared" si="7"/>
        <v>0</v>
      </c>
      <c r="Q16" s="135">
        <f t="shared" si="8"/>
        <v>1692.5661409315071</v>
      </c>
      <c r="R16" s="263"/>
    </row>
    <row r="17" spans="1:18" ht="16.5">
      <c r="A17" s="262"/>
      <c r="B17" s="273">
        <v>9</v>
      </c>
      <c r="C17" s="283" t="s">
        <v>298</v>
      </c>
      <c r="D17" s="273">
        <v>15</v>
      </c>
      <c r="E17" s="287">
        <v>456</v>
      </c>
      <c r="F17" s="287">
        <f t="shared" si="1"/>
        <v>6840</v>
      </c>
      <c r="G17" s="288">
        <f t="shared" si="2"/>
        <v>13870</v>
      </c>
      <c r="H17" s="274">
        <f>VLOOKUP(G17,'2'!C$191:F$201,1,TRUE())</f>
        <v>12935.83</v>
      </c>
      <c r="I17" s="274">
        <f t="shared" si="3"/>
        <v>934.17000000000007</v>
      </c>
      <c r="J17" s="284">
        <f>VLOOKUP(G17,'2'!C$191:F$201,4,TRUE())</f>
        <v>0.17920000000000003</v>
      </c>
      <c r="K17" s="274">
        <f t="shared" si="4"/>
        <v>167.40326400000004</v>
      </c>
      <c r="L17" s="274">
        <f>VLOOKUP(G17,'2'!C$191:F$201,3,TRUE())</f>
        <v>1182.8800000000001</v>
      </c>
      <c r="M17" s="280">
        <f t="shared" si="5"/>
        <v>1350.2832640000001</v>
      </c>
      <c r="N17" s="280">
        <f>VLOOKUP(G17,'2'!H$191:J$201,3,TRUE())</f>
        <v>0</v>
      </c>
      <c r="O17" s="135">
        <f t="shared" si="6"/>
        <v>665.89311649315073</v>
      </c>
      <c r="P17" s="135">
        <f t="shared" si="7"/>
        <v>0</v>
      </c>
      <c r="Q17" s="135">
        <f t="shared" si="8"/>
        <v>665.89311649315073</v>
      </c>
      <c r="R17" s="263"/>
    </row>
    <row r="18" spans="1:18" ht="16.5">
      <c r="A18" s="262"/>
      <c r="B18" s="273">
        <v>10</v>
      </c>
      <c r="C18" s="283" t="s">
        <v>299</v>
      </c>
      <c r="D18" s="273">
        <v>15</v>
      </c>
      <c r="E18" s="287">
        <v>736</v>
      </c>
      <c r="F18" s="287">
        <f t="shared" si="1"/>
        <v>11040</v>
      </c>
      <c r="G18" s="288">
        <f t="shared" si="2"/>
        <v>22386.666666666668</v>
      </c>
      <c r="H18" s="274">
        <f>VLOOKUP(G18,'2'!C$191:F$201,1,TRUE())</f>
        <v>15487.72</v>
      </c>
      <c r="I18" s="274">
        <f t="shared" si="3"/>
        <v>6898.9466666666685</v>
      </c>
      <c r="J18" s="284">
        <f>VLOOKUP(G18,'2'!C$191:F$201,4,TRUE())</f>
        <v>0.21359999999999998</v>
      </c>
      <c r="K18" s="274">
        <f t="shared" si="4"/>
        <v>1473.6150080000002</v>
      </c>
      <c r="L18" s="274">
        <f>VLOOKUP(G18,'2'!C$191:F$201,3,TRUE())</f>
        <v>1640.18</v>
      </c>
      <c r="M18" s="280">
        <f t="shared" si="5"/>
        <v>3113.7950080000001</v>
      </c>
      <c r="N18" s="280">
        <f>VLOOKUP(G18,'2'!H$191:J$201,3,TRUE())</f>
        <v>0</v>
      </c>
      <c r="O18" s="135">
        <f t="shared" si="6"/>
        <v>1535.5701409315068</v>
      </c>
      <c r="P18" s="135">
        <f t="shared" si="7"/>
        <v>0</v>
      </c>
      <c r="Q18" s="135">
        <f t="shared" si="8"/>
        <v>1535.5701409315068</v>
      </c>
      <c r="R18" s="263"/>
    </row>
    <row r="19" spans="1:18" ht="16.5">
      <c r="A19" s="262"/>
      <c r="B19" s="273">
        <v>11</v>
      </c>
      <c r="C19" s="283">
        <f>[3]NÓMINA!B19</f>
        <v>0</v>
      </c>
      <c r="D19" s="273">
        <v>15</v>
      </c>
      <c r="E19" s="273"/>
      <c r="F19" s="273">
        <f t="shared" si="1"/>
        <v>0</v>
      </c>
      <c r="G19" s="280">
        <f t="shared" si="2"/>
        <v>0</v>
      </c>
      <c r="H19" s="274" t="e">
        <f>VLOOKUP(G19,'2'!C$191:F$201,1,TRUE())</f>
        <v>#N/A</v>
      </c>
      <c r="I19" s="274" t="e">
        <f t="shared" si="3"/>
        <v>#N/A</v>
      </c>
      <c r="J19" s="284" t="e">
        <f>VLOOKUP(G19,'2'!C$191:F$201,4,TRUE())</f>
        <v>#N/A</v>
      </c>
      <c r="K19" s="274" t="e">
        <f t="shared" si="4"/>
        <v>#N/A</v>
      </c>
      <c r="L19" s="274" t="e">
        <f>VLOOKUP(G19,'2'!C$191:F$201,3,TRUE())</f>
        <v>#N/A</v>
      </c>
      <c r="M19" s="280" t="e">
        <f t="shared" si="5"/>
        <v>#N/A</v>
      </c>
      <c r="N19" s="280" t="e">
        <f>VLOOKUP(G19,'2'!H$191:J$201,3,TRUE())</f>
        <v>#N/A</v>
      </c>
      <c r="O19" s="135" t="e">
        <f t="shared" si="6"/>
        <v>#N/A</v>
      </c>
      <c r="P19" s="135" t="e">
        <f t="shared" si="7"/>
        <v>#N/A</v>
      </c>
      <c r="Q19" s="135" t="e">
        <f t="shared" si="8"/>
        <v>#N/A</v>
      </c>
      <c r="R19" s="263"/>
    </row>
    <row r="20" spans="1:18" ht="16.5">
      <c r="A20" s="262"/>
      <c r="B20" s="273">
        <v>12</v>
      </c>
      <c r="C20" s="283">
        <f>[3]NÓMINA!B20</f>
        <v>0</v>
      </c>
      <c r="D20" s="273">
        <v>15</v>
      </c>
      <c r="E20" s="273"/>
      <c r="F20" s="273">
        <f t="shared" si="1"/>
        <v>0</v>
      </c>
      <c r="G20" s="280">
        <f t="shared" si="2"/>
        <v>0</v>
      </c>
      <c r="H20" s="274" t="e">
        <f>VLOOKUP(G20,'2'!C$191:F$201,1,TRUE())</f>
        <v>#N/A</v>
      </c>
      <c r="I20" s="274" t="e">
        <f t="shared" si="3"/>
        <v>#N/A</v>
      </c>
      <c r="J20" s="284" t="e">
        <f>VLOOKUP(G20,'2'!C$191:F$201,4,TRUE())</f>
        <v>#N/A</v>
      </c>
      <c r="K20" s="274" t="e">
        <f t="shared" si="4"/>
        <v>#N/A</v>
      </c>
      <c r="L20" s="274" t="e">
        <f>VLOOKUP(G20,'2'!C$191:F$201,3,TRUE())</f>
        <v>#N/A</v>
      </c>
      <c r="M20" s="280" t="e">
        <f t="shared" si="5"/>
        <v>#N/A</v>
      </c>
      <c r="N20" s="280" t="e">
        <f>VLOOKUP(G20,'2'!H$191:J$201,3,TRUE())</f>
        <v>#N/A</v>
      </c>
      <c r="O20" s="135" t="e">
        <f t="shared" si="6"/>
        <v>#N/A</v>
      </c>
      <c r="P20" s="135" t="e">
        <f t="shared" si="7"/>
        <v>#N/A</v>
      </c>
      <c r="Q20" s="135" t="e">
        <f t="shared" si="8"/>
        <v>#N/A</v>
      </c>
      <c r="R20" s="263"/>
    </row>
    <row r="21" spans="1:18" ht="16.5">
      <c r="A21" s="262"/>
      <c r="B21" s="273">
        <v>13</v>
      </c>
      <c r="C21" s="283">
        <f>[3]NÓMINA!B21</f>
        <v>0</v>
      </c>
      <c r="D21" s="273">
        <v>15</v>
      </c>
      <c r="E21" s="273"/>
      <c r="F21" s="273">
        <f t="shared" si="1"/>
        <v>0</v>
      </c>
      <c r="G21" s="280">
        <f t="shared" si="2"/>
        <v>0</v>
      </c>
      <c r="H21" s="274" t="e">
        <f>VLOOKUP(G21,'2'!C$191:F$201,1,TRUE())</f>
        <v>#N/A</v>
      </c>
      <c r="I21" s="274" t="e">
        <f t="shared" si="3"/>
        <v>#N/A</v>
      </c>
      <c r="J21" s="284" t="e">
        <f>VLOOKUP(G21,'2'!C$191:F$201,4,TRUE())</f>
        <v>#N/A</v>
      </c>
      <c r="K21" s="274" t="e">
        <f t="shared" si="4"/>
        <v>#N/A</v>
      </c>
      <c r="L21" s="274" t="e">
        <f>VLOOKUP(G21,'2'!C$191:F$201,3,TRUE())</f>
        <v>#N/A</v>
      </c>
      <c r="M21" s="280" t="e">
        <f t="shared" si="5"/>
        <v>#N/A</v>
      </c>
      <c r="N21" s="280" t="e">
        <f>VLOOKUP(G21,'2'!H$191:J$201,3,TRUE())</f>
        <v>#N/A</v>
      </c>
      <c r="O21" s="135" t="e">
        <f t="shared" si="6"/>
        <v>#N/A</v>
      </c>
      <c r="P21" s="135" t="e">
        <f t="shared" si="7"/>
        <v>#N/A</v>
      </c>
      <c r="Q21" s="135" t="e">
        <f t="shared" si="8"/>
        <v>#N/A</v>
      </c>
      <c r="R21" s="263"/>
    </row>
    <row r="22" spans="1:18" ht="16.5">
      <c r="A22" s="262"/>
      <c r="B22" s="273">
        <v>14</v>
      </c>
      <c r="C22" s="283">
        <f>[3]NÓMINA!B22</f>
        <v>0</v>
      </c>
      <c r="D22" s="273">
        <v>15</v>
      </c>
      <c r="E22" s="273"/>
      <c r="F22" s="273">
        <f t="shared" si="1"/>
        <v>0</v>
      </c>
      <c r="G22" s="280">
        <f t="shared" si="2"/>
        <v>0</v>
      </c>
      <c r="H22" s="274" t="e">
        <f>VLOOKUP(G22,'2'!C$191:F$201,1,TRUE())</f>
        <v>#N/A</v>
      </c>
      <c r="I22" s="274" t="e">
        <f t="shared" si="3"/>
        <v>#N/A</v>
      </c>
      <c r="J22" s="284" t="e">
        <f>VLOOKUP(G22,'2'!C$191:F$201,4,TRUE())</f>
        <v>#N/A</v>
      </c>
      <c r="K22" s="274" t="e">
        <f t="shared" si="4"/>
        <v>#N/A</v>
      </c>
      <c r="L22" s="274" t="e">
        <f>VLOOKUP(G22,'2'!C$191:F$201,3,TRUE())</f>
        <v>#N/A</v>
      </c>
      <c r="M22" s="280" t="e">
        <f t="shared" si="5"/>
        <v>#N/A</v>
      </c>
      <c r="N22" s="280" t="e">
        <f>VLOOKUP(G22,'2'!H$191:J$201,3,TRUE())</f>
        <v>#N/A</v>
      </c>
      <c r="O22" s="135" t="e">
        <f t="shared" si="6"/>
        <v>#N/A</v>
      </c>
      <c r="P22" s="135" t="e">
        <f t="shared" si="7"/>
        <v>#N/A</v>
      </c>
      <c r="Q22" s="135" t="e">
        <f t="shared" si="8"/>
        <v>#N/A</v>
      </c>
      <c r="R22" s="263"/>
    </row>
    <row r="23" spans="1:18" ht="16.5">
      <c r="A23" s="262"/>
      <c r="B23" s="273">
        <v>15</v>
      </c>
      <c r="C23" s="283">
        <f>[3]NÓMINA!B23</f>
        <v>0</v>
      </c>
      <c r="D23" s="273">
        <v>15</v>
      </c>
      <c r="E23" s="273"/>
      <c r="F23" s="273">
        <f t="shared" si="1"/>
        <v>0</v>
      </c>
      <c r="G23" s="280">
        <f t="shared" si="2"/>
        <v>0</v>
      </c>
      <c r="H23" s="274" t="e">
        <f>VLOOKUP(G23,'2'!C$191:F$201,1,TRUE())</f>
        <v>#N/A</v>
      </c>
      <c r="I23" s="274" t="e">
        <f t="shared" si="3"/>
        <v>#N/A</v>
      </c>
      <c r="J23" s="284" t="e">
        <f>VLOOKUP(G23,'2'!C$191:F$201,4,TRUE())</f>
        <v>#N/A</v>
      </c>
      <c r="K23" s="274" t="e">
        <f t="shared" si="4"/>
        <v>#N/A</v>
      </c>
      <c r="L23" s="274" t="e">
        <f>VLOOKUP(G23,'2'!C$191:F$201,3,TRUE())</f>
        <v>#N/A</v>
      </c>
      <c r="M23" s="280" t="e">
        <f t="shared" si="5"/>
        <v>#N/A</v>
      </c>
      <c r="N23" s="280" t="e">
        <f>VLOOKUP(G23,'2'!H$191:J$201,3,TRUE())</f>
        <v>#N/A</v>
      </c>
      <c r="O23" s="135" t="e">
        <f t="shared" si="6"/>
        <v>#N/A</v>
      </c>
      <c r="P23" s="135" t="e">
        <f t="shared" si="7"/>
        <v>#N/A</v>
      </c>
      <c r="Q23" s="135" t="e">
        <f t="shared" si="8"/>
        <v>#N/A</v>
      </c>
      <c r="R23" s="263"/>
    </row>
    <row r="24" spans="1:18" ht="16.5">
      <c r="A24" s="262"/>
      <c r="B24" s="273">
        <v>16</v>
      </c>
      <c r="C24" s="283">
        <f>[3]NÓMINA!B24</f>
        <v>0</v>
      </c>
      <c r="D24" s="273">
        <v>15</v>
      </c>
      <c r="E24" s="273"/>
      <c r="F24" s="273">
        <f t="shared" si="1"/>
        <v>0</v>
      </c>
      <c r="G24" s="280">
        <f t="shared" si="2"/>
        <v>0</v>
      </c>
      <c r="H24" s="274" t="e">
        <f>VLOOKUP(G24,'2'!C$191:F$201,1,TRUE())</f>
        <v>#N/A</v>
      </c>
      <c r="I24" s="274" t="e">
        <f t="shared" si="3"/>
        <v>#N/A</v>
      </c>
      <c r="J24" s="284" t="e">
        <f>VLOOKUP(G24,'2'!C$191:F$201,4,TRUE())</f>
        <v>#N/A</v>
      </c>
      <c r="K24" s="274" t="e">
        <f t="shared" si="4"/>
        <v>#N/A</v>
      </c>
      <c r="L24" s="274" t="e">
        <f>VLOOKUP(G24,'2'!C$191:F$201,3,TRUE())</f>
        <v>#N/A</v>
      </c>
      <c r="M24" s="280" t="e">
        <f t="shared" si="5"/>
        <v>#N/A</v>
      </c>
      <c r="N24" s="280" t="e">
        <f>VLOOKUP(G24,'2'!H$191:J$201,3,TRUE())</f>
        <v>#N/A</v>
      </c>
      <c r="O24" s="135" t="e">
        <f t="shared" si="6"/>
        <v>#N/A</v>
      </c>
      <c r="P24" s="135" t="e">
        <f t="shared" si="7"/>
        <v>#N/A</v>
      </c>
      <c r="Q24" s="135" t="e">
        <f t="shared" si="8"/>
        <v>#N/A</v>
      </c>
      <c r="R24" s="263"/>
    </row>
    <row r="25" spans="1:18" ht="16.5">
      <c r="A25" s="262"/>
      <c r="B25" s="273">
        <v>17</v>
      </c>
      <c r="C25" s="283">
        <f>[3]NÓMINA!B25</f>
        <v>0</v>
      </c>
      <c r="D25" s="273">
        <v>15</v>
      </c>
      <c r="E25" s="273"/>
      <c r="F25" s="273">
        <f t="shared" si="1"/>
        <v>0</v>
      </c>
      <c r="G25" s="280">
        <f t="shared" si="2"/>
        <v>0</v>
      </c>
      <c r="H25" s="274" t="e">
        <f>VLOOKUP(G25,'2'!C$191:F$201,1,TRUE())</f>
        <v>#N/A</v>
      </c>
      <c r="I25" s="274" t="e">
        <f t="shared" si="3"/>
        <v>#N/A</v>
      </c>
      <c r="J25" s="284" t="e">
        <f>VLOOKUP(G25,'2'!C$191:F$201,4,TRUE())</f>
        <v>#N/A</v>
      </c>
      <c r="K25" s="274" t="e">
        <f t="shared" si="4"/>
        <v>#N/A</v>
      </c>
      <c r="L25" s="274" t="e">
        <f>VLOOKUP(G25,'2'!C$191:F$201,3,TRUE())</f>
        <v>#N/A</v>
      </c>
      <c r="M25" s="280" t="e">
        <f t="shared" si="5"/>
        <v>#N/A</v>
      </c>
      <c r="N25" s="280" t="e">
        <f>VLOOKUP(G25,'2'!H$191:J$201,3,TRUE())</f>
        <v>#N/A</v>
      </c>
      <c r="O25" s="135" t="e">
        <f t="shared" si="6"/>
        <v>#N/A</v>
      </c>
      <c r="P25" s="135" t="e">
        <f t="shared" si="7"/>
        <v>#N/A</v>
      </c>
      <c r="Q25" s="135" t="e">
        <f t="shared" si="8"/>
        <v>#N/A</v>
      </c>
      <c r="R25" s="263"/>
    </row>
    <row r="26" spans="1:18" ht="16.5">
      <c r="A26" s="262"/>
      <c r="B26" s="273">
        <v>18</v>
      </c>
      <c r="C26" s="283">
        <f>[3]NÓMINA!B26</f>
        <v>0</v>
      </c>
      <c r="D26" s="273">
        <v>15</v>
      </c>
      <c r="E26" s="273"/>
      <c r="F26" s="273">
        <f t="shared" si="1"/>
        <v>0</v>
      </c>
      <c r="G26" s="280">
        <f t="shared" si="2"/>
        <v>0</v>
      </c>
      <c r="H26" s="274" t="e">
        <f>VLOOKUP(G26,'2'!C$191:F$201,1,TRUE())</f>
        <v>#N/A</v>
      </c>
      <c r="I26" s="274" t="e">
        <f t="shared" si="3"/>
        <v>#N/A</v>
      </c>
      <c r="J26" s="284" t="e">
        <f>VLOOKUP(G26,'2'!C$191:F$201,4,TRUE())</f>
        <v>#N/A</v>
      </c>
      <c r="K26" s="274" t="e">
        <f t="shared" si="4"/>
        <v>#N/A</v>
      </c>
      <c r="L26" s="274" t="e">
        <f>VLOOKUP(G26,'2'!C$191:F$201,3,TRUE())</f>
        <v>#N/A</v>
      </c>
      <c r="M26" s="280" t="e">
        <f t="shared" si="5"/>
        <v>#N/A</v>
      </c>
      <c r="N26" s="280" t="e">
        <f>VLOOKUP(G26,'2'!H$191:J$201,3,TRUE())</f>
        <v>#N/A</v>
      </c>
      <c r="O26" s="135" t="e">
        <f t="shared" si="6"/>
        <v>#N/A</v>
      </c>
      <c r="P26" s="135" t="e">
        <f t="shared" si="7"/>
        <v>#N/A</v>
      </c>
      <c r="Q26" s="135" t="e">
        <f t="shared" si="8"/>
        <v>#N/A</v>
      </c>
      <c r="R26" s="263"/>
    </row>
    <row r="27" spans="1:18" ht="16.5">
      <c r="A27" s="262"/>
      <c r="B27" s="273">
        <v>19</v>
      </c>
      <c r="C27" s="283">
        <f>[3]NÓMINA!B27</f>
        <v>0</v>
      </c>
      <c r="D27" s="273">
        <v>15</v>
      </c>
      <c r="E27" s="273"/>
      <c r="F27" s="273">
        <f t="shared" si="1"/>
        <v>0</v>
      </c>
      <c r="G27" s="280">
        <f t="shared" si="2"/>
        <v>0</v>
      </c>
      <c r="H27" s="274" t="e">
        <f>VLOOKUP(G27,'2'!C$191:F$201,1,TRUE())</f>
        <v>#N/A</v>
      </c>
      <c r="I27" s="274" t="e">
        <f t="shared" si="3"/>
        <v>#N/A</v>
      </c>
      <c r="J27" s="284" t="e">
        <f>VLOOKUP(G27,'2'!C$191:F$201,4,TRUE())</f>
        <v>#N/A</v>
      </c>
      <c r="K27" s="274" t="e">
        <f t="shared" si="4"/>
        <v>#N/A</v>
      </c>
      <c r="L27" s="274" t="e">
        <f>VLOOKUP(G27,'2'!C$191:F$201,3,TRUE())</f>
        <v>#N/A</v>
      </c>
      <c r="M27" s="280" t="e">
        <f t="shared" si="5"/>
        <v>#N/A</v>
      </c>
      <c r="N27" s="280" t="e">
        <f>VLOOKUP(G27,'2'!H$191:J$201,3,TRUE())</f>
        <v>#N/A</v>
      </c>
      <c r="O27" s="135" t="e">
        <f t="shared" si="6"/>
        <v>#N/A</v>
      </c>
      <c r="P27" s="135" t="e">
        <f t="shared" si="7"/>
        <v>#N/A</v>
      </c>
      <c r="Q27" s="135" t="e">
        <f t="shared" si="8"/>
        <v>#N/A</v>
      </c>
      <c r="R27" s="263"/>
    </row>
    <row r="28" spans="1:18" ht="16.5">
      <c r="A28" s="262"/>
      <c r="B28" s="273">
        <v>20</v>
      </c>
      <c r="C28" s="283">
        <f>[3]NÓMINA!B28</f>
        <v>0</v>
      </c>
      <c r="D28" s="273">
        <v>15</v>
      </c>
      <c r="E28" s="273"/>
      <c r="F28" s="273">
        <f t="shared" si="1"/>
        <v>0</v>
      </c>
      <c r="G28" s="280">
        <f t="shared" si="2"/>
        <v>0</v>
      </c>
      <c r="H28" s="274" t="e">
        <f>VLOOKUP(G28,'2'!C$191:F$201,1,TRUE())</f>
        <v>#N/A</v>
      </c>
      <c r="I28" s="274" t="e">
        <f t="shared" si="3"/>
        <v>#N/A</v>
      </c>
      <c r="J28" s="284" t="e">
        <f>VLOOKUP(G28,'2'!C$191:F$201,4,TRUE())</f>
        <v>#N/A</v>
      </c>
      <c r="K28" s="274" t="e">
        <f t="shared" si="4"/>
        <v>#N/A</v>
      </c>
      <c r="L28" s="274" t="e">
        <f>VLOOKUP(G28,'2'!C$191:F$201,3,TRUE())</f>
        <v>#N/A</v>
      </c>
      <c r="M28" s="280" t="e">
        <f t="shared" si="5"/>
        <v>#N/A</v>
      </c>
      <c r="N28" s="280" t="e">
        <f>VLOOKUP(G28,'2'!H$191:J$201,3,TRUE())</f>
        <v>#N/A</v>
      </c>
      <c r="O28" s="135" t="e">
        <f t="shared" si="6"/>
        <v>#N/A</v>
      </c>
      <c r="P28" s="135" t="e">
        <f t="shared" si="7"/>
        <v>#N/A</v>
      </c>
      <c r="Q28" s="135" t="e">
        <f t="shared" si="8"/>
        <v>#N/A</v>
      </c>
      <c r="R28" s="263"/>
    </row>
    <row r="29" spans="1:18" ht="16.5">
      <c r="A29" s="262"/>
      <c r="B29" s="273">
        <v>21</v>
      </c>
      <c r="C29" s="283">
        <f>[3]NÓMINA!B29</f>
        <v>0</v>
      </c>
      <c r="D29" s="273">
        <v>15</v>
      </c>
      <c r="E29" s="273"/>
      <c r="F29" s="273">
        <f t="shared" si="1"/>
        <v>0</v>
      </c>
      <c r="G29" s="280">
        <f t="shared" si="2"/>
        <v>0</v>
      </c>
      <c r="H29" s="274" t="e">
        <f>VLOOKUP(G29,'2'!C$191:F$201,1,TRUE())</f>
        <v>#N/A</v>
      </c>
      <c r="I29" s="274" t="e">
        <f t="shared" si="3"/>
        <v>#N/A</v>
      </c>
      <c r="J29" s="284" t="e">
        <f>VLOOKUP(G29,'2'!C$191:F$201,4,TRUE())</f>
        <v>#N/A</v>
      </c>
      <c r="K29" s="274" t="e">
        <f t="shared" si="4"/>
        <v>#N/A</v>
      </c>
      <c r="L29" s="274" t="e">
        <f>VLOOKUP(G29,'2'!C$191:F$201,3,TRUE())</f>
        <v>#N/A</v>
      </c>
      <c r="M29" s="280" t="e">
        <f t="shared" si="5"/>
        <v>#N/A</v>
      </c>
      <c r="N29" s="280" t="e">
        <f>VLOOKUP(G29,'2'!H$191:J$201,3,TRUE())</f>
        <v>#N/A</v>
      </c>
      <c r="O29" s="135" t="e">
        <f t="shared" si="6"/>
        <v>#N/A</v>
      </c>
      <c r="P29" s="135" t="e">
        <f t="shared" si="7"/>
        <v>#N/A</v>
      </c>
      <c r="Q29" s="135" t="e">
        <f t="shared" si="8"/>
        <v>#N/A</v>
      </c>
      <c r="R29" s="263"/>
    </row>
    <row r="30" spans="1:18" ht="16.5">
      <c r="A30" s="262"/>
      <c r="B30" s="273">
        <v>22</v>
      </c>
      <c r="C30" s="283">
        <f>[3]NÓMINA!B30</f>
        <v>0</v>
      </c>
      <c r="D30" s="273">
        <v>15</v>
      </c>
      <c r="E30" s="273"/>
      <c r="F30" s="273">
        <f t="shared" si="1"/>
        <v>0</v>
      </c>
      <c r="G30" s="280">
        <f t="shared" si="2"/>
        <v>0</v>
      </c>
      <c r="H30" s="274" t="e">
        <f>VLOOKUP(G30,'2'!C$191:F$201,1,TRUE())</f>
        <v>#N/A</v>
      </c>
      <c r="I30" s="274" t="e">
        <f t="shared" si="3"/>
        <v>#N/A</v>
      </c>
      <c r="J30" s="284" t="e">
        <f>VLOOKUP(G30,'2'!C$191:F$201,4,TRUE())</f>
        <v>#N/A</v>
      </c>
      <c r="K30" s="274" t="e">
        <f t="shared" si="4"/>
        <v>#N/A</v>
      </c>
      <c r="L30" s="274" t="e">
        <f>VLOOKUP(G30,'2'!C$191:F$201,3,TRUE())</f>
        <v>#N/A</v>
      </c>
      <c r="M30" s="280" t="e">
        <f t="shared" si="5"/>
        <v>#N/A</v>
      </c>
      <c r="N30" s="280" t="e">
        <f>VLOOKUP(G30,'2'!H$191:J$201,3,TRUE())</f>
        <v>#N/A</v>
      </c>
      <c r="O30" s="135" t="e">
        <f t="shared" si="6"/>
        <v>#N/A</v>
      </c>
      <c r="P30" s="135" t="e">
        <f t="shared" si="7"/>
        <v>#N/A</v>
      </c>
      <c r="Q30" s="135" t="e">
        <f t="shared" si="8"/>
        <v>#N/A</v>
      </c>
      <c r="R30" s="263"/>
    </row>
    <row r="31" spans="1:18" ht="16.5">
      <c r="A31" s="262"/>
      <c r="B31" s="273">
        <v>23</v>
      </c>
      <c r="C31" s="283">
        <f>[3]NÓMINA!B31</f>
        <v>0</v>
      </c>
      <c r="D31" s="273">
        <v>15</v>
      </c>
      <c r="E31" s="273"/>
      <c r="F31" s="273">
        <f t="shared" si="1"/>
        <v>0</v>
      </c>
      <c r="G31" s="280">
        <f t="shared" si="2"/>
        <v>0</v>
      </c>
      <c r="H31" s="274" t="e">
        <f>VLOOKUP(G31,'2'!C$191:F$201,1,TRUE())</f>
        <v>#N/A</v>
      </c>
      <c r="I31" s="274" t="e">
        <f t="shared" si="3"/>
        <v>#N/A</v>
      </c>
      <c r="J31" s="284" t="e">
        <f>VLOOKUP(G31,'2'!C$191:F$201,4,TRUE())</f>
        <v>#N/A</v>
      </c>
      <c r="K31" s="274" t="e">
        <f t="shared" si="4"/>
        <v>#N/A</v>
      </c>
      <c r="L31" s="274" t="e">
        <f>VLOOKUP(G31,'2'!C$191:F$201,3,TRUE())</f>
        <v>#N/A</v>
      </c>
      <c r="M31" s="280" t="e">
        <f t="shared" si="5"/>
        <v>#N/A</v>
      </c>
      <c r="N31" s="280" t="e">
        <f>VLOOKUP(G31,'2'!H$191:J$201,3,TRUE())</f>
        <v>#N/A</v>
      </c>
      <c r="O31" s="135" t="e">
        <f t="shared" si="6"/>
        <v>#N/A</v>
      </c>
      <c r="P31" s="135" t="e">
        <f t="shared" si="7"/>
        <v>#N/A</v>
      </c>
      <c r="Q31" s="135" t="e">
        <f t="shared" si="8"/>
        <v>#N/A</v>
      </c>
      <c r="R31" s="263"/>
    </row>
    <row r="32" spans="1:18" ht="16.5">
      <c r="A32" s="262"/>
      <c r="B32" s="273">
        <v>24</v>
      </c>
      <c r="C32" s="283">
        <f>[3]NÓMINA!B32</f>
        <v>0</v>
      </c>
      <c r="D32" s="273">
        <v>15</v>
      </c>
      <c r="E32" s="273"/>
      <c r="F32" s="273">
        <f t="shared" si="1"/>
        <v>0</v>
      </c>
      <c r="G32" s="280">
        <f t="shared" si="2"/>
        <v>0</v>
      </c>
      <c r="H32" s="274" t="e">
        <f>VLOOKUP(G32,'2'!C$191:F$201,1,TRUE())</f>
        <v>#N/A</v>
      </c>
      <c r="I32" s="274" t="e">
        <f t="shared" si="3"/>
        <v>#N/A</v>
      </c>
      <c r="J32" s="284" t="e">
        <f>VLOOKUP(G32,'2'!C$191:F$201,4,TRUE())</f>
        <v>#N/A</v>
      </c>
      <c r="K32" s="274" t="e">
        <f t="shared" si="4"/>
        <v>#N/A</v>
      </c>
      <c r="L32" s="274" t="e">
        <f>VLOOKUP(G32,'2'!C$191:F$201,3,TRUE())</f>
        <v>#N/A</v>
      </c>
      <c r="M32" s="280" t="e">
        <f t="shared" si="5"/>
        <v>#N/A</v>
      </c>
      <c r="N32" s="280" t="e">
        <f>VLOOKUP(G32,'2'!H$191:J$201,3,TRUE())</f>
        <v>#N/A</v>
      </c>
      <c r="O32" s="135" t="e">
        <f t="shared" si="6"/>
        <v>#N/A</v>
      </c>
      <c r="P32" s="135" t="e">
        <f t="shared" si="7"/>
        <v>#N/A</v>
      </c>
      <c r="Q32" s="135" t="e">
        <f t="shared" si="8"/>
        <v>#N/A</v>
      </c>
      <c r="R32" s="263"/>
    </row>
    <row r="33" spans="1:18" ht="16.5">
      <c r="A33" s="262"/>
      <c r="B33" s="273">
        <v>25</v>
      </c>
      <c r="C33" s="283">
        <f>[3]NÓMINA!B33</f>
        <v>0</v>
      </c>
      <c r="D33" s="273">
        <v>15</v>
      </c>
      <c r="E33" s="273"/>
      <c r="F33" s="273">
        <f t="shared" si="1"/>
        <v>0</v>
      </c>
      <c r="G33" s="280">
        <f t="shared" si="2"/>
        <v>0</v>
      </c>
      <c r="H33" s="274" t="e">
        <f>VLOOKUP(G33,'2'!C$191:F$201,1,TRUE())</f>
        <v>#N/A</v>
      </c>
      <c r="I33" s="274" t="e">
        <f t="shared" si="3"/>
        <v>#N/A</v>
      </c>
      <c r="J33" s="284" t="e">
        <f>VLOOKUP(G33,'2'!C$191:F$201,4,TRUE())</f>
        <v>#N/A</v>
      </c>
      <c r="K33" s="274" t="e">
        <f t="shared" si="4"/>
        <v>#N/A</v>
      </c>
      <c r="L33" s="274" t="e">
        <f>VLOOKUP(G33,'2'!C$191:F$201,3,TRUE())</f>
        <v>#N/A</v>
      </c>
      <c r="M33" s="280" t="e">
        <f t="shared" si="5"/>
        <v>#N/A</v>
      </c>
      <c r="N33" s="280" t="e">
        <f>VLOOKUP(G33,'2'!H$191:J$201,3,TRUE())</f>
        <v>#N/A</v>
      </c>
      <c r="O33" s="135" t="e">
        <f t="shared" si="6"/>
        <v>#N/A</v>
      </c>
      <c r="P33" s="135" t="e">
        <f t="shared" si="7"/>
        <v>#N/A</v>
      </c>
      <c r="Q33" s="135" t="e">
        <f t="shared" si="8"/>
        <v>#N/A</v>
      </c>
      <c r="R33" s="263"/>
    </row>
    <row r="34" spans="1:18" ht="16.5">
      <c r="B34" s="273">
        <v>26</v>
      </c>
      <c r="C34" s="283">
        <f>[3]NÓMINA!B34</f>
        <v>0</v>
      </c>
      <c r="D34" s="273">
        <v>15</v>
      </c>
      <c r="E34" s="273"/>
      <c r="F34" s="273">
        <f t="shared" si="1"/>
        <v>0</v>
      </c>
      <c r="G34" s="280">
        <f t="shared" si="2"/>
        <v>0</v>
      </c>
      <c r="H34" s="274" t="e">
        <f>VLOOKUP(G34,'2'!C$191:F$201,1,TRUE())</f>
        <v>#N/A</v>
      </c>
      <c r="I34" s="274" t="e">
        <f t="shared" si="3"/>
        <v>#N/A</v>
      </c>
      <c r="J34" s="284" t="e">
        <f>VLOOKUP(G34,'2'!C$191:F$201,4,TRUE())</f>
        <v>#N/A</v>
      </c>
      <c r="K34" s="274" t="e">
        <f t="shared" si="4"/>
        <v>#N/A</v>
      </c>
      <c r="L34" s="274" t="e">
        <f>VLOOKUP(G34,'2'!C$191:F$201,3,TRUE())</f>
        <v>#N/A</v>
      </c>
      <c r="M34" s="280" t="e">
        <f t="shared" si="5"/>
        <v>#N/A</v>
      </c>
      <c r="N34" s="280" t="e">
        <f>VLOOKUP(G34,'2'!H$191:J$201,3,TRUE())</f>
        <v>#N/A</v>
      </c>
      <c r="O34" s="135" t="e">
        <f t="shared" si="6"/>
        <v>#N/A</v>
      </c>
      <c r="P34" s="135" t="e">
        <f t="shared" si="7"/>
        <v>#N/A</v>
      </c>
      <c r="Q34" s="135" t="e">
        <f t="shared" si="8"/>
        <v>#N/A</v>
      </c>
    </row>
    <row r="35" spans="1:18" ht="16.5">
      <c r="B35" s="273">
        <v>27</v>
      </c>
      <c r="C35" s="283">
        <f>[3]NÓMINA!B35</f>
        <v>0</v>
      </c>
      <c r="D35" s="273">
        <v>15</v>
      </c>
      <c r="E35" s="273"/>
      <c r="F35" s="273">
        <f t="shared" si="1"/>
        <v>0</v>
      </c>
      <c r="G35" s="280">
        <f t="shared" si="2"/>
        <v>0</v>
      </c>
      <c r="H35" s="274" t="e">
        <f>VLOOKUP(G35,'2'!C$191:F$201,1,TRUE())</f>
        <v>#N/A</v>
      </c>
      <c r="I35" s="274" t="e">
        <f t="shared" si="3"/>
        <v>#N/A</v>
      </c>
      <c r="J35" s="284" t="e">
        <f>VLOOKUP(G35,'2'!C$191:F$201,4,TRUE())</f>
        <v>#N/A</v>
      </c>
      <c r="K35" s="274" t="e">
        <f t="shared" si="4"/>
        <v>#N/A</v>
      </c>
      <c r="L35" s="274" t="e">
        <f>VLOOKUP(G35,'2'!C$191:F$201,3,TRUE())</f>
        <v>#N/A</v>
      </c>
      <c r="M35" s="280" t="e">
        <f t="shared" si="5"/>
        <v>#N/A</v>
      </c>
      <c r="N35" s="280" t="e">
        <f>VLOOKUP(G35,'2'!H$191:J$201,3,TRUE())</f>
        <v>#N/A</v>
      </c>
      <c r="O35" s="135" t="e">
        <f t="shared" si="6"/>
        <v>#N/A</v>
      </c>
      <c r="P35" s="135" t="e">
        <f t="shared" si="7"/>
        <v>#N/A</v>
      </c>
      <c r="Q35" s="135" t="e">
        <f t="shared" si="8"/>
        <v>#N/A</v>
      </c>
    </row>
    <row r="36" spans="1:18" ht="16.5">
      <c r="B36" s="273">
        <v>28</v>
      </c>
      <c r="C36" s="283">
        <f>[3]NÓMINA!B36</f>
        <v>0</v>
      </c>
      <c r="D36" s="273">
        <v>15</v>
      </c>
      <c r="E36" s="273"/>
      <c r="F36" s="273">
        <f t="shared" si="1"/>
        <v>0</v>
      </c>
      <c r="G36" s="280">
        <f t="shared" si="2"/>
        <v>0</v>
      </c>
      <c r="H36" s="274" t="e">
        <f>VLOOKUP(G36,'2'!C$191:F$201,1,TRUE())</f>
        <v>#N/A</v>
      </c>
      <c r="I36" s="274" t="e">
        <f t="shared" si="3"/>
        <v>#N/A</v>
      </c>
      <c r="J36" s="284" t="e">
        <f>VLOOKUP(G36,'2'!C$191:F$201,4,TRUE())</f>
        <v>#N/A</v>
      </c>
      <c r="K36" s="274" t="e">
        <f t="shared" si="4"/>
        <v>#N/A</v>
      </c>
      <c r="L36" s="274" t="e">
        <f>VLOOKUP(G36,'2'!C$191:F$201,3,TRUE())</f>
        <v>#N/A</v>
      </c>
      <c r="M36" s="280" t="e">
        <f t="shared" si="5"/>
        <v>#N/A</v>
      </c>
      <c r="N36" s="280" t="e">
        <f>VLOOKUP(G36,'2'!H$191:J$201,3,TRUE())</f>
        <v>#N/A</v>
      </c>
      <c r="O36" s="135" t="e">
        <f t="shared" si="6"/>
        <v>#N/A</v>
      </c>
      <c r="P36" s="135" t="e">
        <f t="shared" si="7"/>
        <v>#N/A</v>
      </c>
      <c r="Q36" s="135" t="e">
        <f t="shared" si="8"/>
        <v>#N/A</v>
      </c>
    </row>
    <row r="37" spans="1:18" ht="16.5">
      <c r="B37" s="273">
        <v>29</v>
      </c>
      <c r="C37" s="283">
        <f>[3]NÓMINA!B37</f>
        <v>0</v>
      </c>
      <c r="D37" s="273">
        <v>15</v>
      </c>
      <c r="E37" s="273"/>
      <c r="F37" s="273">
        <f t="shared" si="1"/>
        <v>0</v>
      </c>
      <c r="G37" s="280">
        <f t="shared" si="2"/>
        <v>0</v>
      </c>
      <c r="H37" s="274" t="e">
        <f>VLOOKUP(G37,'2'!C$191:F$201,1,TRUE())</f>
        <v>#N/A</v>
      </c>
      <c r="I37" s="274" t="e">
        <f t="shared" si="3"/>
        <v>#N/A</v>
      </c>
      <c r="J37" s="284" t="e">
        <f>VLOOKUP(G37,'2'!C$191:F$201,4,TRUE())</f>
        <v>#N/A</v>
      </c>
      <c r="K37" s="274" t="e">
        <f t="shared" si="4"/>
        <v>#N/A</v>
      </c>
      <c r="L37" s="274" t="e">
        <f>VLOOKUP(G37,'2'!C$191:F$201,3,TRUE())</f>
        <v>#N/A</v>
      </c>
      <c r="M37" s="280" t="e">
        <f t="shared" si="5"/>
        <v>#N/A</v>
      </c>
      <c r="N37" s="280" t="e">
        <f>VLOOKUP(G37,'2'!H$191:J$201,3,TRUE())</f>
        <v>#N/A</v>
      </c>
      <c r="O37" s="135" t="e">
        <f t="shared" si="6"/>
        <v>#N/A</v>
      </c>
      <c r="P37" s="135" t="e">
        <f t="shared" si="7"/>
        <v>#N/A</v>
      </c>
      <c r="Q37" s="135" t="e">
        <f t="shared" si="8"/>
        <v>#N/A</v>
      </c>
    </row>
    <row r="38" spans="1:18" ht="16.5">
      <c r="B38" s="273">
        <v>30</v>
      </c>
      <c r="C38" s="283">
        <f>[3]NÓMINA!B38</f>
        <v>0</v>
      </c>
      <c r="D38" s="273">
        <v>15</v>
      </c>
      <c r="E38" s="273"/>
      <c r="F38" s="273">
        <f t="shared" si="1"/>
        <v>0</v>
      </c>
      <c r="G38" s="280">
        <f t="shared" si="2"/>
        <v>0</v>
      </c>
      <c r="H38" s="274" t="e">
        <f>VLOOKUP(G38,'2'!C$191:F$201,1,TRUE())</f>
        <v>#N/A</v>
      </c>
      <c r="I38" s="274" t="e">
        <f t="shared" si="3"/>
        <v>#N/A</v>
      </c>
      <c r="J38" s="284" t="e">
        <f>VLOOKUP(G38,'2'!C$191:F$201,4,TRUE())</f>
        <v>#N/A</v>
      </c>
      <c r="K38" s="274" t="e">
        <f t="shared" si="4"/>
        <v>#N/A</v>
      </c>
      <c r="L38" s="274" t="e">
        <f>VLOOKUP(G38,'2'!C$191:F$201,3,TRUE())</f>
        <v>#N/A</v>
      </c>
      <c r="M38" s="280" t="e">
        <f t="shared" si="5"/>
        <v>#N/A</v>
      </c>
      <c r="N38" s="280" t="e">
        <f>VLOOKUP(G38,'2'!H$191:J$201,3,TRUE())</f>
        <v>#N/A</v>
      </c>
      <c r="O38" s="135" t="e">
        <f t="shared" si="6"/>
        <v>#N/A</v>
      </c>
      <c r="P38" s="135" t="e">
        <f t="shared" si="7"/>
        <v>#N/A</v>
      </c>
      <c r="Q38" s="135" t="e">
        <f t="shared" si="8"/>
        <v>#N/A</v>
      </c>
    </row>
    <row r="39" spans="1:18" ht="16.5">
      <c r="B39" s="273">
        <v>31</v>
      </c>
      <c r="C39" s="283">
        <f>[3]NÓMINA!B39</f>
        <v>0</v>
      </c>
      <c r="D39" s="273">
        <v>15</v>
      </c>
      <c r="E39" s="273"/>
      <c r="F39" s="273">
        <f t="shared" si="1"/>
        <v>0</v>
      </c>
      <c r="G39" s="280">
        <f t="shared" si="2"/>
        <v>0</v>
      </c>
      <c r="H39" s="274" t="e">
        <f>VLOOKUP(G39,'2'!C$191:F$201,1,TRUE())</f>
        <v>#N/A</v>
      </c>
      <c r="I39" s="274" t="e">
        <f t="shared" si="3"/>
        <v>#N/A</v>
      </c>
      <c r="J39" s="284" t="e">
        <f>VLOOKUP(G39,'2'!C$191:F$201,4,TRUE())</f>
        <v>#N/A</v>
      </c>
      <c r="K39" s="274" t="e">
        <f t="shared" si="4"/>
        <v>#N/A</v>
      </c>
      <c r="L39" s="274" t="e">
        <f>VLOOKUP(G39,'2'!C$191:F$201,3,TRUE())</f>
        <v>#N/A</v>
      </c>
      <c r="M39" s="280" t="e">
        <f t="shared" si="5"/>
        <v>#N/A</v>
      </c>
      <c r="N39" s="280" t="e">
        <f>VLOOKUP(G39,'2'!H$191:J$201,3,TRUE())</f>
        <v>#N/A</v>
      </c>
      <c r="O39" s="135" t="e">
        <f t="shared" si="6"/>
        <v>#N/A</v>
      </c>
      <c r="P39" s="135" t="e">
        <f t="shared" si="7"/>
        <v>#N/A</v>
      </c>
      <c r="Q39" s="135" t="e">
        <f t="shared" si="8"/>
        <v>#N/A</v>
      </c>
    </row>
  </sheetData>
  <mergeCells count="15">
    <mergeCell ref="P5:P7"/>
    <mergeCell ref="Q5:Q7"/>
    <mergeCell ref="I5:I7"/>
    <mergeCell ref="J5:J7"/>
    <mergeCell ref="K5:K7"/>
    <mergeCell ref="L5:L7"/>
    <mergeCell ref="M5:M7"/>
    <mergeCell ref="O5:O7"/>
    <mergeCell ref="N5:N7"/>
    <mergeCell ref="B5:C6"/>
    <mergeCell ref="D5:D7"/>
    <mergeCell ref="G5:G7"/>
    <mergeCell ref="H5:H7"/>
    <mergeCell ref="E5:E7"/>
    <mergeCell ref="F5:F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L18"/>
  <sheetViews>
    <sheetView showGridLines="0" workbookViewId="0">
      <selection activeCell="C15" sqref="C15:I18"/>
    </sheetView>
  </sheetViews>
  <sheetFormatPr baseColWidth="10" defaultRowHeight="15"/>
  <cols>
    <col min="3" max="3" width="23.5703125" bestFit="1" customWidth="1"/>
    <col min="4" max="4" width="4.85546875" customWidth="1"/>
    <col min="5" max="5" width="13.7109375" customWidth="1"/>
    <col min="6" max="6" width="4.42578125" customWidth="1"/>
    <col min="7" max="7" width="11.7109375" bestFit="1" customWidth="1"/>
    <col min="8" max="8" width="6.28515625" customWidth="1"/>
    <col min="9" max="9" width="13.42578125" customWidth="1"/>
  </cols>
  <sheetData>
    <row r="3" spans="3:12" ht="21.75">
      <c r="C3" s="290" t="s">
        <v>242</v>
      </c>
      <c r="D3" s="290"/>
      <c r="E3" s="290"/>
      <c r="F3" s="290"/>
      <c r="G3" s="290"/>
      <c r="H3" s="290"/>
      <c r="I3" s="290"/>
    </row>
    <row r="4" spans="3:12">
      <c r="C4" s="291"/>
      <c r="D4" s="291"/>
      <c r="E4" s="291"/>
      <c r="F4" s="291"/>
      <c r="G4" s="291"/>
      <c r="H4" s="291"/>
      <c r="I4" s="291"/>
      <c r="J4" s="291"/>
      <c r="K4" s="291"/>
    </row>
    <row r="5" spans="3:12">
      <c r="C5" s="134" t="s">
        <v>300</v>
      </c>
      <c r="D5" s="292" t="s">
        <v>301</v>
      </c>
      <c r="E5" s="293" t="s">
        <v>302</v>
      </c>
      <c r="F5" s="292" t="s">
        <v>301</v>
      </c>
      <c r="G5" s="134" t="s">
        <v>303</v>
      </c>
      <c r="H5" s="292" t="s">
        <v>301</v>
      </c>
      <c r="I5" s="134" t="s">
        <v>304</v>
      </c>
    </row>
    <row r="6" spans="3:12">
      <c r="C6" s="134" t="s">
        <v>305</v>
      </c>
      <c r="D6" s="292"/>
      <c r="E6" s="294">
        <v>5000</v>
      </c>
      <c r="F6" s="295"/>
      <c r="G6" s="192">
        <v>8000</v>
      </c>
      <c r="H6" s="296"/>
      <c r="I6" s="192">
        <v>10000</v>
      </c>
    </row>
    <row r="7" spans="3:12">
      <c r="C7" s="134" t="s">
        <v>306</v>
      </c>
      <c r="D7" s="297">
        <v>0.05</v>
      </c>
      <c r="E7" s="294">
        <f>D7*E6</f>
        <v>250</v>
      </c>
      <c r="F7" s="297">
        <v>0.08</v>
      </c>
      <c r="G7" s="192">
        <f>F7*G6</f>
        <v>640</v>
      </c>
      <c r="H7" s="298">
        <v>0.15</v>
      </c>
      <c r="I7" s="134">
        <f>H7*I6</f>
        <v>1500</v>
      </c>
      <c r="J7" s="193">
        <v>0.13</v>
      </c>
      <c r="K7" s="188">
        <f>I6*J7</f>
        <v>1300</v>
      </c>
      <c r="L7" s="188">
        <f>I7-K7</f>
        <v>200</v>
      </c>
    </row>
    <row r="8" spans="3:12">
      <c r="C8" s="134" t="s">
        <v>307</v>
      </c>
      <c r="D8" s="297">
        <v>0.05</v>
      </c>
      <c r="E8" s="294">
        <f>D8*E6</f>
        <v>250</v>
      </c>
      <c r="F8" s="298">
        <v>0.05</v>
      </c>
      <c r="G8" s="192">
        <f>F8*G6</f>
        <v>400</v>
      </c>
      <c r="H8" s="298">
        <v>0.15</v>
      </c>
      <c r="I8" s="134">
        <f>H8*I6</f>
        <v>1500</v>
      </c>
      <c r="J8" s="193">
        <v>0.13</v>
      </c>
      <c r="K8" s="60">
        <v>1300</v>
      </c>
      <c r="L8" s="188">
        <f>I8-K8</f>
        <v>200</v>
      </c>
    </row>
    <row r="9" spans="3:12">
      <c r="K9" s="60">
        <f>I7+I8</f>
        <v>3000</v>
      </c>
      <c r="L9" s="299">
        <f>L7+L8</f>
        <v>400</v>
      </c>
    </row>
    <row r="10" spans="3:12">
      <c r="L10" s="188">
        <f>K9-L9</f>
        <v>2600</v>
      </c>
    </row>
    <row r="11" spans="3:12">
      <c r="C11" t="s">
        <v>308</v>
      </c>
      <c r="E11" s="12" t="s">
        <v>191</v>
      </c>
      <c r="G11" t="s">
        <v>309</v>
      </c>
      <c r="I11" t="s">
        <v>191</v>
      </c>
    </row>
    <row r="12" spans="3:12">
      <c r="E12" s="60">
        <v>0</v>
      </c>
      <c r="G12" s="188">
        <f>G7-G8</f>
        <v>240</v>
      </c>
      <c r="I12" s="60">
        <v>0</v>
      </c>
    </row>
    <row r="15" spans="3:12">
      <c r="C15" s="300" t="s">
        <v>310</v>
      </c>
      <c r="D15" s="300"/>
      <c r="E15" s="300"/>
      <c r="F15" s="300"/>
      <c r="G15" s="300"/>
      <c r="H15" s="300"/>
      <c r="I15" s="300"/>
    </row>
    <row r="16" spans="3:12">
      <c r="C16" s="300"/>
      <c r="D16" s="300"/>
      <c r="E16" s="300"/>
      <c r="F16" s="300"/>
      <c r="G16" s="300"/>
      <c r="H16" s="300"/>
      <c r="I16" s="300"/>
    </row>
    <row r="17" spans="3:9">
      <c r="C17" s="300"/>
      <c r="D17" s="300"/>
      <c r="E17" s="300"/>
      <c r="F17" s="300"/>
      <c r="G17" s="300"/>
      <c r="H17" s="300"/>
      <c r="I17" s="300"/>
    </row>
    <row r="18" spans="3:9" ht="57.95" customHeight="1">
      <c r="C18" s="300"/>
      <c r="D18" s="300"/>
      <c r="E18" s="300"/>
      <c r="F18" s="300"/>
      <c r="G18" s="300"/>
      <c r="H18" s="300"/>
      <c r="I18" s="300"/>
    </row>
  </sheetData>
  <mergeCells count="2">
    <mergeCell ref="C3:I3"/>
    <mergeCell ref="C15:I1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18"/>
  <sheetViews>
    <sheetView showGridLines="0" workbookViewId="0">
      <selection activeCell="C7" sqref="C7"/>
    </sheetView>
  </sheetViews>
  <sheetFormatPr baseColWidth="10" defaultRowHeight="15"/>
  <cols>
    <col min="2" max="2" width="19.28515625" customWidth="1"/>
    <col min="3" max="3" width="12.5703125" customWidth="1"/>
    <col min="4" max="4" width="2.42578125" customWidth="1"/>
    <col min="5" max="5" width="15.85546875" bestFit="1" customWidth="1"/>
  </cols>
  <sheetData>
    <row r="4" spans="2:6" ht="19.5">
      <c r="B4" s="301" t="s">
        <v>311</v>
      </c>
      <c r="C4" s="301"/>
      <c r="D4" s="301"/>
      <c r="E4" s="301"/>
      <c r="F4" s="301"/>
    </row>
    <row r="6" spans="2:6">
      <c r="B6" t="s">
        <v>210</v>
      </c>
      <c r="C6" s="60">
        <v>96.21</v>
      </c>
      <c r="D6" s="60"/>
      <c r="E6" t="s">
        <v>312</v>
      </c>
      <c r="F6" s="193">
        <v>0.4</v>
      </c>
    </row>
    <row r="7" spans="2:6">
      <c r="B7" t="s">
        <v>313</v>
      </c>
      <c r="C7" s="302">
        <v>30</v>
      </c>
      <c r="D7" s="302"/>
    </row>
    <row r="9" spans="2:6">
      <c r="C9" s="293" t="s">
        <v>302</v>
      </c>
      <c r="E9" s="303" t="s">
        <v>303</v>
      </c>
    </row>
    <row r="10" spans="2:6">
      <c r="B10" s="134" t="s">
        <v>314</v>
      </c>
      <c r="C10" s="293">
        <v>1500</v>
      </c>
      <c r="E10" s="303">
        <v>300</v>
      </c>
    </row>
    <row r="11" spans="2:6" ht="3" customHeight="1">
      <c r="B11" s="134"/>
      <c r="C11" s="293"/>
      <c r="E11" s="303"/>
    </row>
    <row r="12" spans="2:6">
      <c r="B12" s="134" t="s">
        <v>315</v>
      </c>
      <c r="C12" s="304">
        <f>C6*C7*F6</f>
        <v>1154.52</v>
      </c>
      <c r="D12" s="188"/>
      <c r="E12" s="305">
        <f>C12</f>
        <v>1154.52</v>
      </c>
    </row>
    <row r="13" spans="2:6">
      <c r="B13" t="s">
        <v>316</v>
      </c>
      <c r="C13" s="188">
        <f>C10-C12</f>
        <v>345.48</v>
      </c>
      <c r="E13" s="188">
        <v>0</v>
      </c>
    </row>
    <row r="14" spans="2:6">
      <c r="C14" s="12" t="s">
        <v>317</v>
      </c>
      <c r="E14" s="12" t="s">
        <v>318</v>
      </c>
    </row>
    <row r="16" spans="2:6">
      <c r="B16" t="s">
        <v>319</v>
      </c>
    </row>
    <row r="17" spans="2:5">
      <c r="B17" s="178" t="s">
        <v>320</v>
      </c>
      <c r="C17" s="178"/>
      <c r="E17" s="306">
        <f>C6*C7*F6</f>
        <v>1154.52</v>
      </c>
    </row>
    <row r="18" spans="2:5">
      <c r="B18" s="307">
        <v>0.4</v>
      </c>
      <c r="C18" s="308"/>
      <c r="E18" s="309"/>
    </row>
  </sheetData>
  <mergeCells count="4">
    <mergeCell ref="B4:F4"/>
    <mergeCell ref="B17:C17"/>
    <mergeCell ref="E17:E18"/>
    <mergeCell ref="B18:C18"/>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J16" sqref="J16"/>
    </sheetView>
  </sheetViews>
  <sheetFormatPr baseColWidth="10" defaultRowHeight="1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H23" sqref="H23"/>
    </sheetView>
  </sheetViews>
  <sheetFormatPr baseColWidth="10" defaultRowHeight="1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F12" sqref="F12"/>
    </sheetView>
  </sheetViews>
  <sheetFormatPr baseColWidth="10"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H16" sqref="H16"/>
    </sheetView>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20"/>
  <sheetViews>
    <sheetView showGridLines="0" topLeftCell="A4" workbookViewId="0">
      <selection activeCell="M9" sqref="M9"/>
    </sheetView>
  </sheetViews>
  <sheetFormatPr baseColWidth="10" defaultRowHeight="15"/>
  <cols>
    <col min="3" max="3" width="13" bestFit="1" customWidth="1"/>
    <col min="4" max="4" width="18.85546875" customWidth="1"/>
    <col min="5" max="5" width="15.42578125" customWidth="1"/>
  </cols>
  <sheetData>
    <row r="3" spans="1:9" ht="23.25" customHeight="1">
      <c r="A3" s="115" t="s">
        <v>6</v>
      </c>
      <c r="B3" s="115"/>
      <c r="C3" s="115"/>
      <c r="D3" s="115"/>
      <c r="E3" s="115"/>
      <c r="F3" s="115"/>
      <c r="G3" s="115"/>
      <c r="H3" s="115"/>
      <c r="I3" s="115"/>
    </row>
    <row r="4" spans="1:9">
      <c r="A4" s="115"/>
      <c r="B4" s="115"/>
      <c r="C4" s="115"/>
      <c r="D4" s="115"/>
      <c r="E4" s="115"/>
      <c r="F4" s="115"/>
      <c r="G4" s="115"/>
      <c r="H4" s="115"/>
      <c r="I4" s="115"/>
    </row>
    <row r="5" spans="1:9">
      <c r="A5" s="115"/>
      <c r="B5" s="115"/>
      <c r="C5" s="115"/>
      <c r="D5" s="115"/>
      <c r="E5" s="115"/>
      <c r="F5" s="115"/>
      <c r="G5" s="115"/>
      <c r="H5" s="115"/>
      <c r="I5" s="115"/>
    </row>
    <row r="6" spans="1:9">
      <c r="A6" s="115"/>
      <c r="B6" s="115"/>
      <c r="C6" s="115"/>
      <c r="D6" s="115"/>
      <c r="E6" s="115"/>
      <c r="F6" s="115"/>
      <c r="G6" s="115"/>
      <c r="H6" s="115"/>
      <c r="I6" s="115"/>
    </row>
    <row r="8" spans="1:9" ht="18">
      <c r="A8" s="2"/>
      <c r="B8" s="2"/>
      <c r="C8" s="114" t="s">
        <v>0</v>
      </c>
      <c r="D8" s="114"/>
      <c r="E8" s="114"/>
      <c r="F8" s="114"/>
      <c r="G8" s="2"/>
      <c r="H8" s="2"/>
      <c r="I8" s="2"/>
    </row>
    <row r="9" spans="1:9" ht="105">
      <c r="A9" s="3"/>
      <c r="B9" s="3"/>
      <c r="C9" s="4" t="s">
        <v>1</v>
      </c>
      <c r="D9" s="4" t="s">
        <v>2</v>
      </c>
      <c r="E9" s="4" t="s">
        <v>3</v>
      </c>
      <c r="F9" s="4" t="s">
        <v>4</v>
      </c>
      <c r="G9" s="3"/>
      <c r="H9" s="3"/>
      <c r="I9" s="3"/>
    </row>
    <row r="10" spans="1:9" ht="15.75">
      <c r="A10" s="5"/>
      <c r="B10" s="6"/>
      <c r="C10" s="7">
        <v>0.01</v>
      </c>
      <c r="D10" s="8">
        <v>8952.49</v>
      </c>
      <c r="E10" s="9">
        <v>0</v>
      </c>
      <c r="F10" s="10">
        <v>1.9199999999999998E-2</v>
      </c>
      <c r="G10" s="3"/>
      <c r="H10" s="3"/>
      <c r="I10" s="3"/>
    </row>
    <row r="11" spans="1:9" ht="15.75">
      <c r="A11" s="6"/>
      <c r="B11" s="6"/>
      <c r="C11" s="8">
        <v>8952.5</v>
      </c>
      <c r="D11" s="8">
        <v>75984.55</v>
      </c>
      <c r="E11" s="7">
        <v>171.88</v>
      </c>
      <c r="F11" s="10">
        <v>6.4000000000000001E-2</v>
      </c>
      <c r="G11" s="3"/>
      <c r="H11" s="3"/>
      <c r="I11" s="3"/>
    </row>
    <row r="12" spans="1:9" ht="15.75">
      <c r="A12" s="6"/>
      <c r="B12" s="6"/>
      <c r="C12" s="8">
        <v>75984.56</v>
      </c>
      <c r="D12" s="8">
        <v>133536.07</v>
      </c>
      <c r="E12" s="8">
        <v>4461.9399999999996</v>
      </c>
      <c r="F12" s="10">
        <v>0.10880000000000001</v>
      </c>
      <c r="G12" s="3"/>
      <c r="H12" s="3"/>
      <c r="I12" s="3"/>
    </row>
    <row r="13" spans="1:9" ht="15.75">
      <c r="A13" s="6"/>
      <c r="B13" s="6"/>
      <c r="C13" s="8">
        <v>133536.08000000002</v>
      </c>
      <c r="D13" s="8">
        <v>155229.79999999999</v>
      </c>
      <c r="E13" s="8">
        <v>10723.55</v>
      </c>
      <c r="F13" s="10">
        <v>0.16</v>
      </c>
      <c r="G13" s="3"/>
      <c r="H13" s="3"/>
      <c r="I13" s="3"/>
    </row>
    <row r="14" spans="1:9" ht="15.75">
      <c r="A14" s="6"/>
      <c r="B14" s="6"/>
      <c r="C14" s="8">
        <v>155229.81</v>
      </c>
      <c r="D14" s="8">
        <v>185852.57</v>
      </c>
      <c r="E14" s="8">
        <v>14194.54</v>
      </c>
      <c r="F14" s="10">
        <v>0.17920000000000003</v>
      </c>
      <c r="G14" s="3"/>
      <c r="H14" s="3"/>
      <c r="I14" s="3"/>
    </row>
    <row r="15" spans="1:9" ht="15.75">
      <c r="A15" s="6"/>
      <c r="B15" s="6"/>
      <c r="C15" s="8">
        <v>185852.58000000002</v>
      </c>
      <c r="D15" s="8">
        <v>374837.88</v>
      </c>
      <c r="E15" s="8">
        <v>19682.13</v>
      </c>
      <c r="F15" s="10">
        <v>0.21359999999999998</v>
      </c>
      <c r="G15" s="3"/>
      <c r="H15" s="3"/>
      <c r="I15" s="3"/>
    </row>
    <row r="16" spans="1:9" ht="15.75">
      <c r="A16" s="6"/>
      <c r="B16" s="6"/>
      <c r="C16" s="8">
        <v>374837.89</v>
      </c>
      <c r="D16" s="8">
        <v>590795.99</v>
      </c>
      <c r="E16" s="8">
        <v>60049.4</v>
      </c>
      <c r="F16" s="10">
        <v>0.23519999999999999</v>
      </c>
      <c r="G16" s="3"/>
      <c r="H16" s="3"/>
      <c r="I16" s="3"/>
    </row>
    <row r="17" spans="1:9" ht="15.75">
      <c r="A17" s="6"/>
      <c r="B17" s="6"/>
      <c r="C17" s="8">
        <v>590796</v>
      </c>
      <c r="D17" s="8">
        <v>1127926.8400000001</v>
      </c>
      <c r="E17" s="8">
        <v>110842.74</v>
      </c>
      <c r="F17" s="10">
        <v>0.3</v>
      </c>
      <c r="G17" s="3"/>
      <c r="H17" s="3"/>
      <c r="I17" s="3"/>
    </row>
    <row r="18" spans="1:9" ht="15.75">
      <c r="A18" s="6"/>
      <c r="B18" s="6"/>
      <c r="C18" s="8">
        <v>1127926.8500000001</v>
      </c>
      <c r="D18" s="8">
        <v>1503902.46</v>
      </c>
      <c r="E18" s="8">
        <v>271981.99</v>
      </c>
      <c r="F18" s="10">
        <v>0.32</v>
      </c>
      <c r="G18" s="3"/>
      <c r="H18" s="3"/>
      <c r="I18" s="3"/>
    </row>
    <row r="19" spans="1:9" ht="15.75">
      <c r="A19" s="6"/>
      <c r="B19" s="6"/>
      <c r="C19" s="8">
        <v>1503902.47</v>
      </c>
      <c r="D19" s="8">
        <v>4511707.37</v>
      </c>
      <c r="E19" s="8">
        <v>392294.17</v>
      </c>
      <c r="F19" s="10">
        <v>0.34</v>
      </c>
      <c r="G19" s="3"/>
      <c r="H19" s="3"/>
      <c r="I19" s="3"/>
    </row>
    <row r="20" spans="1:9" ht="15.75">
      <c r="A20" s="6"/>
      <c r="B20" s="5"/>
      <c r="C20" s="8">
        <v>4511707.38</v>
      </c>
      <c r="D20" s="7" t="s">
        <v>5</v>
      </c>
      <c r="E20" s="8">
        <v>1414947.85</v>
      </c>
      <c r="F20" s="10">
        <v>0.35</v>
      </c>
      <c r="G20" s="3"/>
      <c r="H20" s="3"/>
      <c r="I20" s="3"/>
    </row>
  </sheetData>
  <mergeCells count="2">
    <mergeCell ref="C8:F8"/>
    <mergeCell ref="A3:I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H17" sqref="H17"/>
    </sheetView>
  </sheetViews>
  <sheetFormatPr baseColWidth="10" defaultRowHeight="1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showGridLines="0" workbookViewId="0">
      <selection activeCell="A26" sqref="A26"/>
    </sheetView>
  </sheetViews>
  <sheetFormatPr baseColWidth="10" defaultColWidth="9.140625" defaultRowHeight="15"/>
  <cols>
    <col min="1" max="1" width="9.85546875" customWidth="1"/>
    <col min="2" max="2" width="29.28515625" bestFit="1" customWidth="1"/>
    <col min="3" max="3" width="15" bestFit="1" customWidth="1"/>
    <col min="4" max="11" width="12.140625" customWidth="1"/>
    <col min="12" max="13" width="12.7109375" bestFit="1" customWidth="1"/>
    <col min="14" max="14" width="12.140625" customWidth="1"/>
    <col min="15" max="15" width="16" customWidth="1"/>
    <col min="257" max="257" width="13" customWidth="1"/>
    <col min="258" max="258" width="27.42578125" bestFit="1" customWidth="1"/>
    <col min="259" max="259" width="12.28515625" bestFit="1" customWidth="1"/>
    <col min="260" max="270" width="11.42578125" customWidth="1"/>
    <col min="271" max="271" width="12.28515625" bestFit="1" customWidth="1"/>
    <col min="513" max="513" width="13" customWidth="1"/>
    <col min="514" max="514" width="27.42578125" bestFit="1" customWidth="1"/>
    <col min="515" max="515" width="12.28515625" bestFit="1" customWidth="1"/>
    <col min="516" max="526" width="11.42578125" customWidth="1"/>
    <col min="527" max="527" width="12.28515625" bestFit="1" customWidth="1"/>
    <col min="769" max="769" width="13" customWidth="1"/>
    <col min="770" max="770" width="27.42578125" bestFit="1" customWidth="1"/>
    <col min="771" max="771" width="12.28515625" bestFit="1" customWidth="1"/>
    <col min="772" max="782" width="11.42578125" customWidth="1"/>
    <col min="783" max="783" width="12.28515625" bestFit="1" customWidth="1"/>
    <col min="1025" max="1025" width="13" customWidth="1"/>
    <col min="1026" max="1026" width="27.42578125" bestFit="1" customWidth="1"/>
    <col min="1027" max="1027" width="12.28515625" bestFit="1" customWidth="1"/>
    <col min="1028" max="1038" width="11.42578125" customWidth="1"/>
    <col min="1039" max="1039" width="12.28515625" bestFit="1" customWidth="1"/>
    <col min="1281" max="1281" width="13" customWidth="1"/>
    <col min="1282" max="1282" width="27.42578125" bestFit="1" customWidth="1"/>
    <col min="1283" max="1283" width="12.28515625" bestFit="1" customWidth="1"/>
    <col min="1284" max="1294" width="11.42578125" customWidth="1"/>
    <col min="1295" max="1295" width="12.28515625" bestFit="1" customWidth="1"/>
    <col min="1537" max="1537" width="13" customWidth="1"/>
    <col min="1538" max="1538" width="27.42578125" bestFit="1" customWidth="1"/>
    <col min="1539" max="1539" width="12.28515625" bestFit="1" customWidth="1"/>
    <col min="1540" max="1550" width="11.42578125" customWidth="1"/>
    <col min="1551" max="1551" width="12.28515625" bestFit="1" customWidth="1"/>
    <col min="1793" max="1793" width="13" customWidth="1"/>
    <col min="1794" max="1794" width="27.42578125" bestFit="1" customWidth="1"/>
    <col min="1795" max="1795" width="12.28515625" bestFit="1" customWidth="1"/>
    <col min="1796" max="1806" width="11.42578125" customWidth="1"/>
    <col min="1807" max="1807" width="12.28515625" bestFit="1" customWidth="1"/>
    <col min="2049" max="2049" width="13" customWidth="1"/>
    <col min="2050" max="2050" width="27.42578125" bestFit="1" customWidth="1"/>
    <col min="2051" max="2051" width="12.28515625" bestFit="1" customWidth="1"/>
    <col min="2052" max="2062" width="11.42578125" customWidth="1"/>
    <col min="2063" max="2063" width="12.28515625" bestFit="1" customWidth="1"/>
    <col min="2305" max="2305" width="13" customWidth="1"/>
    <col min="2306" max="2306" width="27.42578125" bestFit="1" customWidth="1"/>
    <col min="2307" max="2307" width="12.28515625" bestFit="1" customWidth="1"/>
    <col min="2308" max="2318" width="11.42578125" customWidth="1"/>
    <col min="2319" max="2319" width="12.28515625" bestFit="1" customWidth="1"/>
    <col min="2561" max="2561" width="13" customWidth="1"/>
    <col min="2562" max="2562" width="27.42578125" bestFit="1" customWidth="1"/>
    <col min="2563" max="2563" width="12.28515625" bestFit="1" customWidth="1"/>
    <col min="2564" max="2574" width="11.42578125" customWidth="1"/>
    <col min="2575" max="2575" width="12.28515625" bestFit="1" customWidth="1"/>
    <col min="2817" max="2817" width="13" customWidth="1"/>
    <col min="2818" max="2818" width="27.42578125" bestFit="1" customWidth="1"/>
    <col min="2819" max="2819" width="12.28515625" bestFit="1" customWidth="1"/>
    <col min="2820" max="2830" width="11.42578125" customWidth="1"/>
    <col min="2831" max="2831" width="12.28515625" bestFit="1" customWidth="1"/>
    <col min="3073" max="3073" width="13" customWidth="1"/>
    <col min="3074" max="3074" width="27.42578125" bestFit="1" customWidth="1"/>
    <col min="3075" max="3075" width="12.28515625" bestFit="1" customWidth="1"/>
    <col min="3076" max="3086" width="11.42578125" customWidth="1"/>
    <col min="3087" max="3087" width="12.28515625" bestFit="1" customWidth="1"/>
    <col min="3329" max="3329" width="13" customWidth="1"/>
    <col min="3330" max="3330" width="27.42578125" bestFit="1" customWidth="1"/>
    <col min="3331" max="3331" width="12.28515625" bestFit="1" customWidth="1"/>
    <col min="3332" max="3342" width="11.42578125" customWidth="1"/>
    <col min="3343" max="3343" width="12.28515625" bestFit="1" customWidth="1"/>
    <col min="3585" max="3585" width="13" customWidth="1"/>
    <col min="3586" max="3586" width="27.42578125" bestFit="1" customWidth="1"/>
    <col min="3587" max="3587" width="12.28515625" bestFit="1" customWidth="1"/>
    <col min="3588" max="3598" width="11.42578125" customWidth="1"/>
    <col min="3599" max="3599" width="12.28515625" bestFit="1" customWidth="1"/>
    <col min="3841" max="3841" width="13" customWidth="1"/>
    <col min="3842" max="3842" width="27.42578125" bestFit="1" customWidth="1"/>
    <col min="3843" max="3843" width="12.28515625" bestFit="1" customWidth="1"/>
    <col min="3844" max="3854" width="11.42578125" customWidth="1"/>
    <col min="3855" max="3855" width="12.28515625" bestFit="1" customWidth="1"/>
    <col min="4097" max="4097" width="13" customWidth="1"/>
    <col min="4098" max="4098" width="27.42578125" bestFit="1" customWidth="1"/>
    <col min="4099" max="4099" width="12.28515625" bestFit="1" customWidth="1"/>
    <col min="4100" max="4110" width="11.42578125" customWidth="1"/>
    <col min="4111" max="4111" width="12.28515625" bestFit="1" customWidth="1"/>
    <col min="4353" max="4353" width="13" customWidth="1"/>
    <col min="4354" max="4354" width="27.42578125" bestFit="1" customWidth="1"/>
    <col min="4355" max="4355" width="12.28515625" bestFit="1" customWidth="1"/>
    <col min="4356" max="4366" width="11.42578125" customWidth="1"/>
    <col min="4367" max="4367" width="12.28515625" bestFit="1" customWidth="1"/>
    <col min="4609" max="4609" width="13" customWidth="1"/>
    <col min="4610" max="4610" width="27.42578125" bestFit="1" customWidth="1"/>
    <col min="4611" max="4611" width="12.28515625" bestFit="1" customWidth="1"/>
    <col min="4612" max="4622" width="11.42578125" customWidth="1"/>
    <col min="4623" max="4623" width="12.28515625" bestFit="1" customWidth="1"/>
    <col min="4865" max="4865" width="13" customWidth="1"/>
    <col min="4866" max="4866" width="27.42578125" bestFit="1" customWidth="1"/>
    <col min="4867" max="4867" width="12.28515625" bestFit="1" customWidth="1"/>
    <col min="4868" max="4878" width="11.42578125" customWidth="1"/>
    <col min="4879" max="4879" width="12.28515625" bestFit="1" customWidth="1"/>
    <col min="5121" max="5121" width="13" customWidth="1"/>
    <col min="5122" max="5122" width="27.42578125" bestFit="1" customWidth="1"/>
    <col min="5123" max="5123" width="12.28515625" bestFit="1" customWidth="1"/>
    <col min="5124" max="5134" width="11.42578125" customWidth="1"/>
    <col min="5135" max="5135" width="12.28515625" bestFit="1" customWidth="1"/>
    <col min="5377" max="5377" width="13" customWidth="1"/>
    <col min="5378" max="5378" width="27.42578125" bestFit="1" customWidth="1"/>
    <col min="5379" max="5379" width="12.28515625" bestFit="1" customWidth="1"/>
    <col min="5380" max="5390" width="11.42578125" customWidth="1"/>
    <col min="5391" max="5391" width="12.28515625" bestFit="1" customWidth="1"/>
    <col min="5633" max="5633" width="13" customWidth="1"/>
    <col min="5634" max="5634" width="27.42578125" bestFit="1" customWidth="1"/>
    <col min="5635" max="5635" width="12.28515625" bestFit="1" customWidth="1"/>
    <col min="5636" max="5646" width="11.42578125" customWidth="1"/>
    <col min="5647" max="5647" width="12.28515625" bestFit="1" customWidth="1"/>
    <col min="5889" max="5889" width="13" customWidth="1"/>
    <col min="5890" max="5890" width="27.42578125" bestFit="1" customWidth="1"/>
    <col min="5891" max="5891" width="12.28515625" bestFit="1" customWidth="1"/>
    <col min="5892" max="5902" width="11.42578125" customWidth="1"/>
    <col min="5903" max="5903" width="12.28515625" bestFit="1" customWidth="1"/>
    <col min="6145" max="6145" width="13" customWidth="1"/>
    <col min="6146" max="6146" width="27.42578125" bestFit="1" customWidth="1"/>
    <col min="6147" max="6147" width="12.28515625" bestFit="1" customWidth="1"/>
    <col min="6148" max="6158" width="11.42578125" customWidth="1"/>
    <col min="6159" max="6159" width="12.28515625" bestFit="1" customWidth="1"/>
    <col min="6401" max="6401" width="13" customWidth="1"/>
    <col min="6402" max="6402" width="27.42578125" bestFit="1" customWidth="1"/>
    <col min="6403" max="6403" width="12.28515625" bestFit="1" customWidth="1"/>
    <col min="6404" max="6414" width="11.42578125" customWidth="1"/>
    <col min="6415" max="6415" width="12.28515625" bestFit="1" customWidth="1"/>
    <col min="6657" max="6657" width="13" customWidth="1"/>
    <col min="6658" max="6658" width="27.42578125" bestFit="1" customWidth="1"/>
    <col min="6659" max="6659" width="12.28515625" bestFit="1" customWidth="1"/>
    <col min="6660" max="6670" width="11.42578125" customWidth="1"/>
    <col min="6671" max="6671" width="12.28515625" bestFit="1" customWidth="1"/>
    <col min="6913" max="6913" width="13" customWidth="1"/>
    <col min="6914" max="6914" width="27.42578125" bestFit="1" customWidth="1"/>
    <col min="6915" max="6915" width="12.28515625" bestFit="1" customWidth="1"/>
    <col min="6916" max="6926" width="11.42578125" customWidth="1"/>
    <col min="6927" max="6927" width="12.28515625" bestFit="1" customWidth="1"/>
    <col min="7169" max="7169" width="13" customWidth="1"/>
    <col min="7170" max="7170" width="27.42578125" bestFit="1" customWidth="1"/>
    <col min="7171" max="7171" width="12.28515625" bestFit="1" customWidth="1"/>
    <col min="7172" max="7182" width="11.42578125" customWidth="1"/>
    <col min="7183" max="7183" width="12.28515625" bestFit="1" customWidth="1"/>
    <col min="7425" max="7425" width="13" customWidth="1"/>
    <col min="7426" max="7426" width="27.42578125" bestFit="1" customWidth="1"/>
    <col min="7427" max="7427" width="12.28515625" bestFit="1" customWidth="1"/>
    <col min="7428" max="7438" width="11.42578125" customWidth="1"/>
    <col min="7439" max="7439" width="12.28515625" bestFit="1" customWidth="1"/>
    <col min="7681" max="7681" width="13" customWidth="1"/>
    <col min="7682" max="7682" width="27.42578125" bestFit="1" customWidth="1"/>
    <col min="7683" max="7683" width="12.28515625" bestFit="1" customWidth="1"/>
    <col min="7684" max="7694" width="11.42578125" customWidth="1"/>
    <col min="7695" max="7695" width="12.28515625" bestFit="1" customWidth="1"/>
    <col min="7937" max="7937" width="13" customWidth="1"/>
    <col min="7938" max="7938" width="27.42578125" bestFit="1" customWidth="1"/>
    <col min="7939" max="7939" width="12.28515625" bestFit="1" customWidth="1"/>
    <col min="7940" max="7950" width="11.42578125" customWidth="1"/>
    <col min="7951" max="7951" width="12.28515625" bestFit="1" customWidth="1"/>
    <col min="8193" max="8193" width="13" customWidth="1"/>
    <col min="8194" max="8194" width="27.42578125" bestFit="1" customWidth="1"/>
    <col min="8195" max="8195" width="12.28515625" bestFit="1" customWidth="1"/>
    <col min="8196" max="8206" width="11.42578125" customWidth="1"/>
    <col min="8207" max="8207" width="12.28515625" bestFit="1" customWidth="1"/>
    <col min="8449" max="8449" width="13" customWidth="1"/>
    <col min="8450" max="8450" width="27.42578125" bestFit="1" customWidth="1"/>
    <col min="8451" max="8451" width="12.28515625" bestFit="1" customWidth="1"/>
    <col min="8452" max="8462" width="11.42578125" customWidth="1"/>
    <col min="8463" max="8463" width="12.28515625" bestFit="1" customWidth="1"/>
    <col min="8705" max="8705" width="13" customWidth="1"/>
    <col min="8706" max="8706" width="27.42578125" bestFit="1" customWidth="1"/>
    <col min="8707" max="8707" width="12.28515625" bestFit="1" customWidth="1"/>
    <col min="8708" max="8718" width="11.42578125" customWidth="1"/>
    <col min="8719" max="8719" width="12.28515625" bestFit="1" customWidth="1"/>
    <col min="8961" max="8961" width="13" customWidth="1"/>
    <col min="8962" max="8962" width="27.42578125" bestFit="1" customWidth="1"/>
    <col min="8963" max="8963" width="12.28515625" bestFit="1" customWidth="1"/>
    <col min="8964" max="8974" width="11.42578125" customWidth="1"/>
    <col min="8975" max="8975" width="12.28515625" bestFit="1" customWidth="1"/>
    <col min="9217" max="9217" width="13" customWidth="1"/>
    <col min="9218" max="9218" width="27.42578125" bestFit="1" customWidth="1"/>
    <col min="9219" max="9219" width="12.28515625" bestFit="1" customWidth="1"/>
    <col min="9220" max="9230" width="11.42578125" customWidth="1"/>
    <col min="9231" max="9231" width="12.28515625" bestFit="1" customWidth="1"/>
    <col min="9473" max="9473" width="13" customWidth="1"/>
    <col min="9474" max="9474" width="27.42578125" bestFit="1" customWidth="1"/>
    <col min="9475" max="9475" width="12.28515625" bestFit="1" customWidth="1"/>
    <col min="9476" max="9486" width="11.42578125" customWidth="1"/>
    <col min="9487" max="9487" width="12.28515625" bestFit="1" customWidth="1"/>
    <col min="9729" max="9729" width="13" customWidth="1"/>
    <col min="9730" max="9730" width="27.42578125" bestFit="1" customWidth="1"/>
    <col min="9731" max="9731" width="12.28515625" bestFit="1" customWidth="1"/>
    <col min="9732" max="9742" width="11.42578125" customWidth="1"/>
    <col min="9743" max="9743" width="12.28515625" bestFit="1" customWidth="1"/>
    <col min="9985" max="9985" width="13" customWidth="1"/>
    <col min="9986" max="9986" width="27.42578125" bestFit="1" customWidth="1"/>
    <col min="9987" max="9987" width="12.28515625" bestFit="1" customWidth="1"/>
    <col min="9988" max="9998" width="11.42578125" customWidth="1"/>
    <col min="9999" max="9999" width="12.28515625" bestFit="1" customWidth="1"/>
    <col min="10241" max="10241" width="13" customWidth="1"/>
    <col min="10242" max="10242" width="27.42578125" bestFit="1" customWidth="1"/>
    <col min="10243" max="10243" width="12.28515625" bestFit="1" customWidth="1"/>
    <col min="10244" max="10254" width="11.42578125" customWidth="1"/>
    <col min="10255" max="10255" width="12.28515625" bestFit="1" customWidth="1"/>
    <col min="10497" max="10497" width="13" customWidth="1"/>
    <col min="10498" max="10498" width="27.42578125" bestFit="1" customWidth="1"/>
    <col min="10499" max="10499" width="12.28515625" bestFit="1" customWidth="1"/>
    <col min="10500" max="10510" width="11.42578125" customWidth="1"/>
    <col min="10511" max="10511" width="12.28515625" bestFit="1" customWidth="1"/>
    <col min="10753" max="10753" width="13" customWidth="1"/>
    <col min="10754" max="10754" width="27.42578125" bestFit="1" customWidth="1"/>
    <col min="10755" max="10755" width="12.28515625" bestFit="1" customWidth="1"/>
    <col min="10756" max="10766" width="11.42578125" customWidth="1"/>
    <col min="10767" max="10767" width="12.28515625" bestFit="1" customWidth="1"/>
    <col min="11009" max="11009" width="13" customWidth="1"/>
    <col min="11010" max="11010" width="27.42578125" bestFit="1" customWidth="1"/>
    <col min="11011" max="11011" width="12.28515625" bestFit="1" customWidth="1"/>
    <col min="11012" max="11022" width="11.42578125" customWidth="1"/>
    <col min="11023" max="11023" width="12.28515625" bestFit="1" customWidth="1"/>
    <col min="11265" max="11265" width="13" customWidth="1"/>
    <col min="11266" max="11266" width="27.42578125" bestFit="1" customWidth="1"/>
    <col min="11267" max="11267" width="12.28515625" bestFit="1" customWidth="1"/>
    <col min="11268" max="11278" width="11.42578125" customWidth="1"/>
    <col min="11279" max="11279" width="12.28515625" bestFit="1" customWidth="1"/>
    <col min="11521" max="11521" width="13" customWidth="1"/>
    <col min="11522" max="11522" width="27.42578125" bestFit="1" customWidth="1"/>
    <col min="11523" max="11523" width="12.28515625" bestFit="1" customWidth="1"/>
    <col min="11524" max="11534" width="11.42578125" customWidth="1"/>
    <col min="11535" max="11535" width="12.28515625" bestFit="1" customWidth="1"/>
    <col min="11777" max="11777" width="13" customWidth="1"/>
    <col min="11778" max="11778" width="27.42578125" bestFit="1" customWidth="1"/>
    <col min="11779" max="11779" width="12.28515625" bestFit="1" customWidth="1"/>
    <col min="11780" max="11790" width="11.42578125" customWidth="1"/>
    <col min="11791" max="11791" width="12.28515625" bestFit="1" customWidth="1"/>
    <col min="12033" max="12033" width="13" customWidth="1"/>
    <col min="12034" max="12034" width="27.42578125" bestFit="1" customWidth="1"/>
    <col min="12035" max="12035" width="12.28515625" bestFit="1" customWidth="1"/>
    <col min="12036" max="12046" width="11.42578125" customWidth="1"/>
    <col min="12047" max="12047" width="12.28515625" bestFit="1" customWidth="1"/>
    <col min="12289" max="12289" width="13" customWidth="1"/>
    <col min="12290" max="12290" width="27.42578125" bestFit="1" customWidth="1"/>
    <col min="12291" max="12291" width="12.28515625" bestFit="1" customWidth="1"/>
    <col min="12292" max="12302" width="11.42578125" customWidth="1"/>
    <col min="12303" max="12303" width="12.28515625" bestFit="1" customWidth="1"/>
    <col min="12545" max="12545" width="13" customWidth="1"/>
    <col min="12546" max="12546" width="27.42578125" bestFit="1" customWidth="1"/>
    <col min="12547" max="12547" width="12.28515625" bestFit="1" customWidth="1"/>
    <col min="12548" max="12558" width="11.42578125" customWidth="1"/>
    <col min="12559" max="12559" width="12.28515625" bestFit="1" customWidth="1"/>
    <col min="12801" max="12801" width="13" customWidth="1"/>
    <col min="12802" max="12802" width="27.42578125" bestFit="1" customWidth="1"/>
    <col min="12803" max="12803" width="12.28515625" bestFit="1" customWidth="1"/>
    <col min="12804" max="12814" width="11.42578125" customWidth="1"/>
    <col min="12815" max="12815" width="12.28515625" bestFit="1" customWidth="1"/>
    <col min="13057" max="13057" width="13" customWidth="1"/>
    <col min="13058" max="13058" width="27.42578125" bestFit="1" customWidth="1"/>
    <col min="13059" max="13059" width="12.28515625" bestFit="1" customWidth="1"/>
    <col min="13060" max="13070" width="11.42578125" customWidth="1"/>
    <col min="13071" max="13071" width="12.28515625" bestFit="1" customWidth="1"/>
    <col min="13313" max="13313" width="13" customWidth="1"/>
    <col min="13314" max="13314" width="27.42578125" bestFit="1" customWidth="1"/>
    <col min="13315" max="13315" width="12.28515625" bestFit="1" customWidth="1"/>
    <col min="13316" max="13326" width="11.42578125" customWidth="1"/>
    <col min="13327" max="13327" width="12.28515625" bestFit="1" customWidth="1"/>
    <col min="13569" max="13569" width="13" customWidth="1"/>
    <col min="13570" max="13570" width="27.42578125" bestFit="1" customWidth="1"/>
    <col min="13571" max="13571" width="12.28515625" bestFit="1" customWidth="1"/>
    <col min="13572" max="13582" width="11.42578125" customWidth="1"/>
    <col min="13583" max="13583" width="12.28515625" bestFit="1" customWidth="1"/>
    <col min="13825" max="13825" width="13" customWidth="1"/>
    <col min="13826" max="13826" width="27.42578125" bestFit="1" customWidth="1"/>
    <col min="13827" max="13827" width="12.28515625" bestFit="1" customWidth="1"/>
    <col min="13828" max="13838" width="11.42578125" customWidth="1"/>
    <col min="13839" max="13839" width="12.28515625" bestFit="1" customWidth="1"/>
    <col min="14081" max="14081" width="13" customWidth="1"/>
    <col min="14082" max="14082" width="27.42578125" bestFit="1" customWidth="1"/>
    <col min="14083" max="14083" width="12.28515625" bestFit="1" customWidth="1"/>
    <col min="14084" max="14094" width="11.42578125" customWidth="1"/>
    <col min="14095" max="14095" width="12.28515625" bestFit="1" customWidth="1"/>
    <col min="14337" max="14337" width="13" customWidth="1"/>
    <col min="14338" max="14338" width="27.42578125" bestFit="1" customWidth="1"/>
    <col min="14339" max="14339" width="12.28515625" bestFit="1" customWidth="1"/>
    <col min="14340" max="14350" width="11.42578125" customWidth="1"/>
    <col min="14351" max="14351" width="12.28515625" bestFit="1" customWidth="1"/>
    <col min="14593" max="14593" width="13" customWidth="1"/>
    <col min="14594" max="14594" width="27.42578125" bestFit="1" customWidth="1"/>
    <col min="14595" max="14595" width="12.28515625" bestFit="1" customWidth="1"/>
    <col min="14596" max="14606" width="11.42578125" customWidth="1"/>
    <col min="14607" max="14607" width="12.28515625" bestFit="1" customWidth="1"/>
    <col min="14849" max="14849" width="13" customWidth="1"/>
    <col min="14850" max="14850" width="27.42578125" bestFit="1" customWidth="1"/>
    <col min="14851" max="14851" width="12.28515625" bestFit="1" customWidth="1"/>
    <col min="14852" max="14862" width="11.42578125" customWidth="1"/>
    <col min="14863" max="14863" width="12.28515625" bestFit="1" customWidth="1"/>
    <col min="15105" max="15105" width="13" customWidth="1"/>
    <col min="15106" max="15106" width="27.42578125" bestFit="1" customWidth="1"/>
    <col min="15107" max="15107" width="12.28515625" bestFit="1" customWidth="1"/>
    <col min="15108" max="15118" width="11.42578125" customWidth="1"/>
    <col min="15119" max="15119" width="12.28515625" bestFit="1" customWidth="1"/>
    <col min="15361" max="15361" width="13" customWidth="1"/>
    <col min="15362" max="15362" width="27.42578125" bestFit="1" customWidth="1"/>
    <col min="15363" max="15363" width="12.28515625" bestFit="1" customWidth="1"/>
    <col min="15364" max="15374" width="11.42578125" customWidth="1"/>
    <col min="15375" max="15375" width="12.28515625" bestFit="1" customWidth="1"/>
    <col min="15617" max="15617" width="13" customWidth="1"/>
    <col min="15618" max="15618" width="27.42578125" bestFit="1" customWidth="1"/>
    <col min="15619" max="15619" width="12.28515625" bestFit="1" customWidth="1"/>
    <col min="15620" max="15630" width="11.42578125" customWidth="1"/>
    <col min="15631" max="15631" width="12.28515625" bestFit="1" customWidth="1"/>
    <col min="15873" max="15873" width="13" customWidth="1"/>
    <col min="15874" max="15874" width="27.42578125" bestFit="1" customWidth="1"/>
    <col min="15875" max="15875" width="12.28515625" bestFit="1" customWidth="1"/>
    <col min="15876" max="15886" width="11.42578125" customWidth="1"/>
    <col min="15887" max="15887" width="12.28515625" bestFit="1" customWidth="1"/>
    <col min="16129" max="16129" width="13" customWidth="1"/>
    <col min="16130" max="16130" width="27.42578125" bestFit="1" customWidth="1"/>
    <col min="16131" max="16131" width="12.28515625" bestFit="1" customWidth="1"/>
    <col min="16132" max="16142" width="11.42578125" customWidth="1"/>
    <col min="16143" max="16143" width="12.28515625" bestFit="1" customWidth="1"/>
  </cols>
  <sheetData>
    <row r="1" spans="1:16">
      <c r="A1" s="37"/>
      <c r="B1" s="38"/>
    </row>
    <row r="2" spans="1:16">
      <c r="A2" s="126" t="s">
        <v>87</v>
      </c>
      <c r="B2" s="126"/>
      <c r="C2" s="126"/>
      <c r="D2" s="126"/>
      <c r="E2" s="126"/>
      <c r="F2" s="126"/>
      <c r="G2" s="126"/>
      <c r="H2" s="126"/>
      <c r="I2" s="126"/>
      <c r="J2" s="126"/>
      <c r="K2" s="126"/>
      <c r="L2" s="126"/>
      <c r="M2" s="126"/>
      <c r="N2" s="126"/>
    </row>
    <row r="3" spans="1:16" s="39" customFormat="1" ht="14.45" customHeight="1">
      <c r="A3" s="127" t="s">
        <v>134</v>
      </c>
      <c r="B3" s="127"/>
      <c r="C3" s="127"/>
      <c r="D3" s="127"/>
      <c r="E3" s="127"/>
      <c r="F3" s="127"/>
      <c r="G3" s="127"/>
      <c r="H3" s="127"/>
      <c r="I3" s="127"/>
      <c r="J3" s="127"/>
      <c r="K3" s="127"/>
      <c r="L3" s="127"/>
      <c r="M3" s="127"/>
      <c r="N3" s="127"/>
    </row>
    <row r="4" spans="1:16">
      <c r="N4" t="s">
        <v>88</v>
      </c>
    </row>
    <row r="5" spans="1:16" ht="24">
      <c r="A5" s="40" t="s">
        <v>89</v>
      </c>
      <c r="B5" s="40" t="s">
        <v>90</v>
      </c>
      <c r="C5" s="40" t="s">
        <v>91</v>
      </c>
      <c r="D5" s="40" t="s">
        <v>92</v>
      </c>
      <c r="E5" s="40" t="s">
        <v>93</v>
      </c>
      <c r="F5" s="40" t="s">
        <v>94</v>
      </c>
      <c r="G5" s="40" t="s">
        <v>95</v>
      </c>
      <c r="H5" s="40" t="s">
        <v>96</v>
      </c>
      <c r="I5" s="40" t="s">
        <v>97</v>
      </c>
      <c r="J5" s="40" t="s">
        <v>98</v>
      </c>
      <c r="K5" s="40" t="s">
        <v>99</v>
      </c>
      <c r="L5" s="40" t="s">
        <v>100</v>
      </c>
      <c r="M5" s="40" t="s">
        <v>101</v>
      </c>
      <c r="N5" s="40" t="s">
        <v>102</v>
      </c>
      <c r="O5" s="40" t="s">
        <v>103</v>
      </c>
      <c r="P5" s="41"/>
    </row>
    <row r="6" spans="1:16">
      <c r="C6" s="40">
        <v>1</v>
      </c>
      <c r="D6" s="40">
        <v>2</v>
      </c>
      <c r="E6" s="40">
        <v>3</v>
      </c>
      <c r="F6" s="40">
        <v>4</v>
      </c>
      <c r="G6" s="40">
        <v>5</v>
      </c>
      <c r="H6" s="40">
        <v>6</v>
      </c>
      <c r="I6" s="40">
        <v>7</v>
      </c>
      <c r="J6" s="40">
        <v>8</v>
      </c>
      <c r="K6" s="40">
        <v>9</v>
      </c>
      <c r="L6" s="40">
        <v>10</v>
      </c>
      <c r="M6" s="40">
        <v>11</v>
      </c>
      <c r="N6" s="40">
        <v>12</v>
      </c>
    </row>
    <row r="7" spans="1:16">
      <c r="A7" s="42"/>
      <c r="C7" s="43"/>
      <c r="D7" s="43"/>
      <c r="E7" s="43"/>
      <c r="F7" s="43"/>
      <c r="G7" s="43"/>
      <c r="H7" s="43"/>
      <c r="I7" s="43"/>
      <c r="J7" s="43"/>
      <c r="K7" s="43"/>
      <c r="L7" s="43"/>
      <c r="M7" s="43"/>
      <c r="N7" s="43"/>
      <c r="O7" s="43"/>
    </row>
    <row r="8" spans="1:16">
      <c r="A8" t="s">
        <v>88</v>
      </c>
      <c r="B8" s="44" t="s">
        <v>104</v>
      </c>
      <c r="D8" s="45"/>
      <c r="E8" s="45"/>
      <c r="F8" s="45"/>
      <c r="G8" s="45"/>
      <c r="H8" s="45"/>
      <c r="I8" s="45"/>
      <c r="J8" s="45"/>
      <c r="K8" s="45"/>
      <c r="L8" s="45"/>
      <c r="M8" s="43"/>
      <c r="N8" s="43"/>
      <c r="O8" s="43"/>
    </row>
    <row r="9" spans="1:16" s="46" customFormat="1">
      <c r="A9" s="46">
        <v>12</v>
      </c>
      <c r="B9" s="46" t="s">
        <v>105</v>
      </c>
      <c r="C9" s="47">
        <v>0</v>
      </c>
      <c r="D9" s="47">
        <v>0</v>
      </c>
      <c r="E9" s="47">
        <v>0</v>
      </c>
      <c r="F9" s="47">
        <v>0</v>
      </c>
      <c r="G9" s="47">
        <v>0</v>
      </c>
      <c r="H9" s="47">
        <v>0</v>
      </c>
      <c r="I9" s="47">
        <v>0</v>
      </c>
      <c r="J9" s="47">
        <v>0</v>
      </c>
      <c r="K9" s="47">
        <v>0</v>
      </c>
      <c r="L9" s="47">
        <v>0</v>
      </c>
      <c r="M9" s="47">
        <v>0</v>
      </c>
      <c r="N9" s="47">
        <v>0</v>
      </c>
      <c r="O9" s="47"/>
    </row>
    <row r="10" spans="1:16" hidden="1">
      <c r="A10">
        <v>13</v>
      </c>
      <c r="B10" t="s">
        <v>106</v>
      </c>
      <c r="C10" s="43">
        <v>0</v>
      </c>
      <c r="D10" s="43">
        <v>0</v>
      </c>
      <c r="E10" s="43">
        <v>0</v>
      </c>
      <c r="F10" s="43">
        <v>0</v>
      </c>
      <c r="G10" s="43">
        <v>0</v>
      </c>
      <c r="H10" s="43">
        <v>0</v>
      </c>
      <c r="I10" s="43">
        <v>0</v>
      </c>
      <c r="J10" s="43">
        <v>0</v>
      </c>
      <c r="K10" s="43">
        <v>0</v>
      </c>
      <c r="L10" s="43">
        <v>0</v>
      </c>
      <c r="M10" s="43">
        <v>0</v>
      </c>
      <c r="N10" s="43">
        <v>0</v>
      </c>
      <c r="O10" s="43">
        <f t="shared" ref="O10:O16" si="0">SUM(C10:N10)</f>
        <v>0</v>
      </c>
    </row>
    <row r="11" spans="1:16">
      <c r="A11">
        <v>3</v>
      </c>
      <c r="B11" t="s">
        <v>107</v>
      </c>
      <c r="C11" s="43">
        <v>0</v>
      </c>
      <c r="D11" s="43">
        <v>0</v>
      </c>
      <c r="E11" s="43">
        <v>0</v>
      </c>
      <c r="F11" s="43">
        <v>0</v>
      </c>
      <c r="G11" s="43">
        <v>0</v>
      </c>
      <c r="H11" s="43">
        <v>0</v>
      </c>
      <c r="I11" s="43">
        <v>0</v>
      </c>
      <c r="J11" s="43">
        <v>0</v>
      </c>
      <c r="K11" s="43">
        <v>0</v>
      </c>
      <c r="L11" s="43">
        <v>0</v>
      </c>
      <c r="M11" s="43">
        <v>0</v>
      </c>
      <c r="N11" s="43">
        <v>0</v>
      </c>
      <c r="O11" s="43"/>
    </row>
    <row r="12" spans="1:16">
      <c r="A12">
        <v>4</v>
      </c>
      <c r="B12" t="s">
        <v>108</v>
      </c>
      <c r="C12" s="43">
        <v>0</v>
      </c>
      <c r="D12" s="43">
        <v>0</v>
      </c>
      <c r="E12" s="43">
        <v>0</v>
      </c>
      <c r="F12" s="43">
        <v>0</v>
      </c>
      <c r="G12" s="43">
        <v>0</v>
      </c>
      <c r="H12" s="43">
        <v>0</v>
      </c>
      <c r="I12" s="43">
        <v>0</v>
      </c>
      <c r="J12" s="43">
        <v>0</v>
      </c>
      <c r="K12" s="43">
        <v>0</v>
      </c>
      <c r="L12" s="43">
        <v>0</v>
      </c>
      <c r="M12" s="43">
        <v>0</v>
      </c>
      <c r="N12" s="43">
        <v>0</v>
      </c>
      <c r="O12" s="43">
        <f t="shared" si="0"/>
        <v>0</v>
      </c>
    </row>
    <row r="13" spans="1:16">
      <c r="A13">
        <v>1</v>
      </c>
      <c r="B13" t="s">
        <v>109</v>
      </c>
      <c r="C13" s="43">
        <v>0</v>
      </c>
      <c r="D13" s="43">
        <v>0</v>
      </c>
      <c r="E13" s="43">
        <v>0</v>
      </c>
      <c r="F13" s="43">
        <v>0</v>
      </c>
      <c r="G13" s="43">
        <v>0</v>
      </c>
      <c r="H13" s="43">
        <v>0</v>
      </c>
      <c r="I13" s="43">
        <v>0</v>
      </c>
      <c r="J13" s="43">
        <v>0</v>
      </c>
      <c r="K13" s="43">
        <v>0</v>
      </c>
      <c r="L13" s="43">
        <v>0</v>
      </c>
      <c r="M13" s="43">
        <v>0</v>
      </c>
      <c r="N13" s="43">
        <v>0</v>
      </c>
      <c r="O13" s="43">
        <f t="shared" si="0"/>
        <v>0</v>
      </c>
      <c r="P13" t="s">
        <v>88</v>
      </c>
    </row>
    <row r="14" spans="1:16">
      <c r="A14">
        <v>2</v>
      </c>
      <c r="B14" t="s">
        <v>110</v>
      </c>
      <c r="C14" s="43">
        <v>0</v>
      </c>
      <c r="D14" s="43">
        <v>0</v>
      </c>
      <c r="E14" s="43">
        <v>0</v>
      </c>
      <c r="F14" s="43">
        <v>0</v>
      </c>
      <c r="G14" s="43">
        <v>0</v>
      </c>
      <c r="H14" s="43">
        <v>0</v>
      </c>
      <c r="I14" s="43">
        <v>0</v>
      </c>
      <c r="J14" s="43">
        <v>0</v>
      </c>
      <c r="K14" s="43">
        <v>0</v>
      </c>
      <c r="L14" s="43">
        <v>0</v>
      </c>
      <c r="M14" s="43">
        <v>0</v>
      </c>
      <c r="N14" s="43">
        <v>0</v>
      </c>
      <c r="O14" s="43">
        <f t="shared" si="0"/>
        <v>0</v>
      </c>
    </row>
    <row r="15" spans="1:16">
      <c r="A15">
        <v>5</v>
      </c>
      <c r="B15" t="s">
        <v>111</v>
      </c>
      <c r="C15" s="43">
        <v>0</v>
      </c>
      <c r="D15" s="43">
        <v>0</v>
      </c>
      <c r="E15" s="43">
        <v>0</v>
      </c>
      <c r="F15" s="43">
        <v>0</v>
      </c>
      <c r="G15" s="43">
        <v>0</v>
      </c>
      <c r="H15" s="43">
        <v>0</v>
      </c>
      <c r="I15" s="43">
        <v>0</v>
      </c>
      <c r="J15" s="43">
        <v>0</v>
      </c>
      <c r="K15" s="43">
        <v>0</v>
      </c>
      <c r="L15" s="43">
        <v>0</v>
      </c>
      <c r="M15" s="43">
        <v>0</v>
      </c>
      <c r="N15" s="43">
        <v>0</v>
      </c>
      <c r="O15" s="43">
        <f t="shared" si="0"/>
        <v>0</v>
      </c>
    </row>
    <row r="16" spans="1:16" ht="15.75" thickBot="1">
      <c r="B16" s="48" t="s">
        <v>112</v>
      </c>
      <c r="C16" s="49">
        <f t="shared" ref="C16:N16" si="1">SUM(C9:C15)</f>
        <v>0</v>
      </c>
      <c r="D16" s="49">
        <f t="shared" si="1"/>
        <v>0</v>
      </c>
      <c r="E16" s="49">
        <f t="shared" si="1"/>
        <v>0</v>
      </c>
      <c r="F16" s="49">
        <f t="shared" si="1"/>
        <v>0</v>
      </c>
      <c r="G16" s="49">
        <f t="shared" si="1"/>
        <v>0</v>
      </c>
      <c r="H16" s="49">
        <f t="shared" si="1"/>
        <v>0</v>
      </c>
      <c r="I16" s="49">
        <f t="shared" si="1"/>
        <v>0</v>
      </c>
      <c r="J16" s="49">
        <f t="shared" si="1"/>
        <v>0</v>
      </c>
      <c r="K16" s="49">
        <f t="shared" si="1"/>
        <v>0</v>
      </c>
      <c r="L16" s="49">
        <f t="shared" si="1"/>
        <v>0</v>
      </c>
      <c r="M16" s="49">
        <f t="shared" si="1"/>
        <v>0</v>
      </c>
      <c r="N16" s="49">
        <f t="shared" si="1"/>
        <v>0</v>
      </c>
      <c r="O16" s="49">
        <f t="shared" si="0"/>
        <v>0</v>
      </c>
    </row>
    <row r="17" spans="1:15" ht="15.75" thickTop="1"/>
    <row r="18" spans="1:15" ht="18.75">
      <c r="A18">
        <v>12</v>
      </c>
      <c r="B18" t="s">
        <v>113</v>
      </c>
      <c r="C18" s="50">
        <f t="shared" ref="C18:N18" si="2">C9*0.16</f>
        <v>0</v>
      </c>
      <c r="D18" s="43">
        <f t="shared" si="2"/>
        <v>0</v>
      </c>
      <c r="E18" s="43">
        <f t="shared" si="2"/>
        <v>0</v>
      </c>
      <c r="F18" s="43">
        <f t="shared" si="2"/>
        <v>0</v>
      </c>
      <c r="G18" s="43">
        <f t="shared" si="2"/>
        <v>0</v>
      </c>
      <c r="H18" s="43">
        <f t="shared" si="2"/>
        <v>0</v>
      </c>
      <c r="I18" s="43">
        <f t="shared" si="2"/>
        <v>0</v>
      </c>
      <c r="J18" s="43">
        <f t="shared" si="2"/>
        <v>0</v>
      </c>
      <c r="K18" s="43">
        <f t="shared" si="2"/>
        <v>0</v>
      </c>
      <c r="L18" s="43">
        <f t="shared" si="2"/>
        <v>0</v>
      </c>
      <c r="M18" s="43">
        <f t="shared" si="2"/>
        <v>0</v>
      </c>
      <c r="N18" s="43">
        <f t="shared" si="2"/>
        <v>0</v>
      </c>
      <c r="O18" s="43">
        <f>SUM(C18:N18)</f>
        <v>0</v>
      </c>
    </row>
    <row r="19" spans="1:15">
      <c r="A19">
        <v>13</v>
      </c>
      <c r="B19" t="s">
        <v>114</v>
      </c>
      <c r="C19" s="43">
        <f>C10*0.16</f>
        <v>0</v>
      </c>
      <c r="D19" s="43">
        <f t="shared" ref="D19:N19" si="3">D10*0.8%</f>
        <v>0</v>
      </c>
      <c r="E19" s="43">
        <f t="shared" si="3"/>
        <v>0</v>
      </c>
      <c r="F19" s="43">
        <f t="shared" si="3"/>
        <v>0</v>
      </c>
      <c r="G19" s="43">
        <f t="shared" si="3"/>
        <v>0</v>
      </c>
      <c r="H19" s="43">
        <f t="shared" si="3"/>
        <v>0</v>
      </c>
      <c r="I19" s="43">
        <f t="shared" si="3"/>
        <v>0</v>
      </c>
      <c r="J19" s="43">
        <f t="shared" si="3"/>
        <v>0</v>
      </c>
      <c r="K19" s="43">
        <f t="shared" si="3"/>
        <v>0</v>
      </c>
      <c r="L19" s="43">
        <f t="shared" si="3"/>
        <v>0</v>
      </c>
      <c r="M19" s="43">
        <f t="shared" si="3"/>
        <v>0</v>
      </c>
      <c r="N19" s="43">
        <f t="shared" si="3"/>
        <v>0</v>
      </c>
      <c r="O19" s="43">
        <f>SUM(C19:N19)</f>
        <v>0</v>
      </c>
    </row>
    <row r="20" spans="1:15" s="46" customFormat="1">
      <c r="A20" s="46">
        <v>8</v>
      </c>
      <c r="B20" s="46" t="s">
        <v>115</v>
      </c>
      <c r="C20" s="51">
        <v>0</v>
      </c>
      <c r="D20" s="47">
        <v>0</v>
      </c>
      <c r="E20" s="47">
        <f>E18/3*2</f>
        <v>0</v>
      </c>
      <c r="F20" s="47">
        <v>0</v>
      </c>
      <c r="G20" s="47">
        <v>0</v>
      </c>
      <c r="H20" s="47">
        <v>0</v>
      </c>
      <c r="I20" s="47">
        <v>0</v>
      </c>
      <c r="J20" s="47">
        <v>0</v>
      </c>
      <c r="K20" s="47">
        <v>0</v>
      </c>
      <c r="L20" s="47">
        <v>0</v>
      </c>
      <c r="M20" s="47">
        <v>0</v>
      </c>
      <c r="N20" s="47">
        <v>0</v>
      </c>
      <c r="O20" s="47">
        <f>SUM(C20:N20)</f>
        <v>0</v>
      </c>
    </row>
    <row r="21" spans="1:15" ht="18.75" thickBot="1">
      <c r="B21" s="48" t="s">
        <v>116</v>
      </c>
      <c r="C21" s="52">
        <f>C18+C19-C20</f>
        <v>0</v>
      </c>
      <c r="D21" s="49">
        <f t="shared" ref="D21:O21" si="4">D18+D19-D20</f>
        <v>0</v>
      </c>
      <c r="E21" s="49">
        <f t="shared" si="4"/>
        <v>0</v>
      </c>
      <c r="F21" s="49">
        <f t="shared" si="4"/>
        <v>0</v>
      </c>
      <c r="G21" s="49">
        <f t="shared" si="4"/>
        <v>0</v>
      </c>
      <c r="H21" s="49">
        <f t="shared" si="4"/>
        <v>0</v>
      </c>
      <c r="I21" s="49">
        <f t="shared" si="4"/>
        <v>0</v>
      </c>
      <c r="J21" s="49">
        <f t="shared" si="4"/>
        <v>0</v>
      </c>
      <c r="K21" s="49">
        <f t="shared" si="4"/>
        <v>0</v>
      </c>
      <c r="L21" s="49">
        <f t="shared" si="4"/>
        <v>0</v>
      </c>
      <c r="M21" s="49">
        <f t="shared" si="4"/>
        <v>0</v>
      </c>
      <c r="N21" s="49">
        <f t="shared" si="4"/>
        <v>0</v>
      </c>
      <c r="O21" s="49">
        <f t="shared" si="4"/>
        <v>0</v>
      </c>
    </row>
    <row r="22" spans="1:15" ht="15.75" thickTop="1">
      <c r="B22" s="44"/>
      <c r="C22" s="53"/>
      <c r="D22" s="53"/>
      <c r="E22" s="53"/>
      <c r="F22" s="53"/>
      <c r="G22" s="53"/>
      <c r="H22" s="53"/>
      <c r="I22" s="53"/>
      <c r="J22" s="53"/>
      <c r="K22" s="53"/>
      <c r="L22" s="53"/>
      <c r="M22" s="53"/>
      <c r="N22" s="53"/>
      <c r="O22" s="53"/>
    </row>
    <row r="23" spans="1:15">
      <c r="B23" s="44" t="s">
        <v>117</v>
      </c>
      <c r="C23" s="43"/>
      <c r="D23" s="43"/>
      <c r="E23" s="43"/>
      <c r="F23" s="43"/>
      <c r="G23" s="43"/>
      <c r="H23" s="43" t="s">
        <v>88</v>
      </c>
      <c r="I23" s="43" t="s">
        <v>88</v>
      </c>
      <c r="J23" s="43"/>
      <c r="K23" s="43"/>
      <c r="L23" s="43"/>
      <c r="M23" s="43"/>
      <c r="N23" s="43"/>
      <c r="O23" s="43"/>
    </row>
    <row r="24" spans="1:15" s="54" customFormat="1">
      <c r="A24" s="46">
        <v>12</v>
      </c>
      <c r="B24" s="46" t="s">
        <v>118</v>
      </c>
      <c r="C24" s="47">
        <v>0</v>
      </c>
      <c r="D24" s="47">
        <v>0</v>
      </c>
      <c r="E24" s="47">
        <v>0</v>
      </c>
      <c r="F24" s="47">
        <v>0</v>
      </c>
      <c r="G24" s="47">
        <v>0</v>
      </c>
      <c r="H24" s="47">
        <v>0</v>
      </c>
      <c r="I24" s="47">
        <v>0</v>
      </c>
      <c r="J24" s="47">
        <v>0</v>
      </c>
      <c r="K24" s="47">
        <v>0</v>
      </c>
      <c r="L24" s="47">
        <v>0</v>
      </c>
      <c r="M24" s="47">
        <v>0</v>
      </c>
      <c r="N24" s="47">
        <v>0</v>
      </c>
      <c r="O24" s="47">
        <f>SUM(C24:N24)</f>
        <v>0</v>
      </c>
    </row>
    <row r="25" spans="1:15">
      <c r="A25">
        <v>13</v>
      </c>
      <c r="B25" t="s">
        <v>119</v>
      </c>
      <c r="C25" s="43">
        <v>0</v>
      </c>
      <c r="D25" s="43">
        <v>0</v>
      </c>
      <c r="E25" s="43">
        <v>0</v>
      </c>
      <c r="F25" s="43">
        <v>0</v>
      </c>
      <c r="G25" s="43">
        <v>0</v>
      </c>
      <c r="H25" s="43">
        <v>0</v>
      </c>
      <c r="I25" s="43">
        <v>0</v>
      </c>
      <c r="J25" s="43">
        <v>0</v>
      </c>
      <c r="K25" s="43">
        <v>0</v>
      </c>
      <c r="L25" s="43">
        <v>0</v>
      </c>
      <c r="M25" s="43">
        <v>0</v>
      </c>
      <c r="N25" s="43">
        <v>0</v>
      </c>
      <c r="O25" s="43">
        <f>SUM(C25:N25)</f>
        <v>0</v>
      </c>
    </row>
    <row r="26" spans="1:15">
      <c r="A26">
        <v>3</v>
      </c>
      <c r="B26" t="s">
        <v>120</v>
      </c>
      <c r="C26" s="43">
        <v>0</v>
      </c>
      <c r="D26" s="43">
        <v>0</v>
      </c>
      <c r="E26" s="43">
        <v>0</v>
      </c>
      <c r="F26" s="43">
        <v>0</v>
      </c>
      <c r="G26" s="43">
        <v>0</v>
      </c>
      <c r="H26" s="43">
        <v>0</v>
      </c>
      <c r="I26" s="43">
        <v>0</v>
      </c>
      <c r="J26" s="43">
        <v>0</v>
      </c>
      <c r="K26" s="43">
        <v>0</v>
      </c>
      <c r="L26" s="43">
        <v>0</v>
      </c>
      <c r="M26" s="43">
        <v>0</v>
      </c>
      <c r="N26" s="43">
        <v>0</v>
      </c>
      <c r="O26" s="43">
        <v>0</v>
      </c>
    </row>
    <row r="27" spans="1:15">
      <c r="A27">
        <v>4</v>
      </c>
      <c r="B27" t="s">
        <v>121</v>
      </c>
      <c r="C27" s="43">
        <v>0</v>
      </c>
      <c r="D27" s="43">
        <v>0</v>
      </c>
      <c r="E27" s="43">
        <v>0</v>
      </c>
      <c r="F27" s="43">
        <v>0</v>
      </c>
      <c r="G27" s="43">
        <v>0</v>
      </c>
      <c r="H27" s="43">
        <v>0</v>
      </c>
      <c r="I27" s="43">
        <v>0</v>
      </c>
      <c r="J27" s="43">
        <v>0</v>
      </c>
      <c r="K27" s="43">
        <v>0</v>
      </c>
      <c r="L27" s="43">
        <v>0</v>
      </c>
      <c r="M27" s="43">
        <v>0</v>
      </c>
      <c r="N27" s="43">
        <v>0</v>
      </c>
      <c r="O27" s="43">
        <f>SUM(C27:N27)</f>
        <v>0</v>
      </c>
    </row>
    <row r="28" spans="1:15" ht="15.75" thickBot="1">
      <c r="B28" s="48" t="s">
        <v>122</v>
      </c>
      <c r="C28" s="49">
        <f>SUM(C24:C27)</f>
        <v>0</v>
      </c>
      <c r="D28" s="49">
        <f t="shared" ref="D28:N28" si="5">SUM(D24:D27)</f>
        <v>0</v>
      </c>
      <c r="E28" s="49">
        <f t="shared" si="5"/>
        <v>0</v>
      </c>
      <c r="F28" s="49">
        <f t="shared" si="5"/>
        <v>0</v>
      </c>
      <c r="G28" s="49">
        <f t="shared" si="5"/>
        <v>0</v>
      </c>
      <c r="H28" s="49">
        <f t="shared" si="5"/>
        <v>0</v>
      </c>
      <c r="I28" s="49">
        <f t="shared" si="5"/>
        <v>0</v>
      </c>
      <c r="J28" s="49">
        <f t="shared" si="5"/>
        <v>0</v>
      </c>
      <c r="K28" s="49">
        <f t="shared" si="5"/>
        <v>0</v>
      </c>
      <c r="L28" s="49">
        <f t="shared" si="5"/>
        <v>0</v>
      </c>
      <c r="M28" s="49">
        <f t="shared" si="5"/>
        <v>0</v>
      </c>
      <c r="N28" s="49">
        <f t="shared" si="5"/>
        <v>0</v>
      </c>
      <c r="O28" s="49">
        <f>SUM(C28:N28)</f>
        <v>0</v>
      </c>
    </row>
    <row r="29" spans="1:15" ht="15.75" thickTop="1">
      <c r="C29" s="43"/>
      <c r="D29" s="43"/>
      <c r="E29" s="43"/>
      <c r="F29" s="43"/>
      <c r="G29" s="43"/>
      <c r="H29" s="43"/>
      <c r="I29" s="43"/>
      <c r="J29" s="43"/>
      <c r="K29" s="43"/>
      <c r="L29" s="43"/>
      <c r="M29" s="43"/>
      <c r="N29" s="43"/>
      <c r="O29" s="43"/>
    </row>
    <row r="30" spans="1:15">
      <c r="A30">
        <v>12</v>
      </c>
      <c r="B30" t="s">
        <v>123</v>
      </c>
      <c r="C30" s="55">
        <f>C24*0.16</f>
        <v>0</v>
      </c>
      <c r="D30" s="55">
        <f t="shared" ref="D30:N30" si="6">D24*0.16</f>
        <v>0</v>
      </c>
      <c r="E30" s="55">
        <f t="shared" si="6"/>
        <v>0</v>
      </c>
      <c r="F30" s="55">
        <f t="shared" si="6"/>
        <v>0</v>
      </c>
      <c r="G30" s="55">
        <f t="shared" si="6"/>
        <v>0</v>
      </c>
      <c r="H30" s="55">
        <v>0</v>
      </c>
      <c r="I30" s="55">
        <f t="shared" si="6"/>
        <v>0</v>
      </c>
      <c r="J30" s="55">
        <f t="shared" si="6"/>
        <v>0</v>
      </c>
      <c r="K30" s="55">
        <f t="shared" si="6"/>
        <v>0</v>
      </c>
      <c r="L30" s="55">
        <f t="shared" si="6"/>
        <v>0</v>
      </c>
      <c r="M30" s="55">
        <f t="shared" si="6"/>
        <v>0</v>
      </c>
      <c r="N30" s="55">
        <f t="shared" si="6"/>
        <v>0</v>
      </c>
      <c r="O30" s="43">
        <f>SUM(C30:N30)</f>
        <v>0</v>
      </c>
    </row>
    <row r="31" spans="1:15">
      <c r="A31">
        <v>13</v>
      </c>
      <c r="B31" t="s">
        <v>124</v>
      </c>
      <c r="C31" s="43">
        <f>C25*8%</f>
        <v>0</v>
      </c>
      <c r="D31" s="43">
        <f t="shared" ref="D31:N31" si="7">D25*8%</f>
        <v>0</v>
      </c>
      <c r="E31" s="43">
        <f t="shared" si="7"/>
        <v>0</v>
      </c>
      <c r="F31" s="43">
        <f t="shared" si="7"/>
        <v>0</v>
      </c>
      <c r="G31" s="43">
        <f t="shared" si="7"/>
        <v>0</v>
      </c>
      <c r="H31" s="43">
        <f t="shared" si="7"/>
        <v>0</v>
      </c>
      <c r="I31" s="43">
        <f t="shared" si="7"/>
        <v>0</v>
      </c>
      <c r="J31" s="43">
        <f t="shared" si="7"/>
        <v>0</v>
      </c>
      <c r="K31" s="43">
        <f t="shared" si="7"/>
        <v>0</v>
      </c>
      <c r="L31" s="43">
        <f t="shared" si="7"/>
        <v>0</v>
      </c>
      <c r="M31" s="43">
        <f t="shared" si="7"/>
        <v>0</v>
      </c>
      <c r="N31" s="43">
        <f t="shared" si="7"/>
        <v>0</v>
      </c>
      <c r="O31" s="43">
        <f>SUM(C31:N31)</f>
        <v>0</v>
      </c>
    </row>
    <row r="32" spans="1:15">
      <c r="A32">
        <v>8</v>
      </c>
      <c r="B32" t="s">
        <v>125</v>
      </c>
      <c r="C32" s="43">
        <v>0</v>
      </c>
      <c r="D32" s="43">
        <v>0</v>
      </c>
      <c r="E32" s="43">
        <v>0</v>
      </c>
      <c r="F32" s="43">
        <v>0</v>
      </c>
      <c r="G32" s="43">
        <v>0</v>
      </c>
      <c r="H32" s="43">
        <v>0</v>
      </c>
      <c r="I32" s="43">
        <v>0</v>
      </c>
      <c r="J32" s="43">
        <v>0</v>
      </c>
      <c r="K32" s="43">
        <v>0</v>
      </c>
      <c r="L32" s="43">
        <v>0</v>
      </c>
      <c r="M32" s="43">
        <v>0</v>
      </c>
      <c r="N32" s="43">
        <v>0</v>
      </c>
      <c r="O32" s="43">
        <f>SUM(C32:N32)</f>
        <v>0</v>
      </c>
    </row>
    <row r="33" spans="1:15">
      <c r="A33">
        <v>8</v>
      </c>
      <c r="B33" t="s">
        <v>126</v>
      </c>
      <c r="C33" s="43">
        <v>0</v>
      </c>
      <c r="D33" s="43">
        <f>C32</f>
        <v>0</v>
      </c>
      <c r="E33" s="43">
        <f t="shared" ref="E33:N33" si="8">D32</f>
        <v>0</v>
      </c>
      <c r="F33" s="43">
        <f t="shared" si="8"/>
        <v>0</v>
      </c>
      <c r="G33" s="43">
        <f t="shared" si="8"/>
        <v>0</v>
      </c>
      <c r="H33" s="43">
        <f t="shared" si="8"/>
        <v>0</v>
      </c>
      <c r="I33" s="43">
        <f t="shared" si="8"/>
        <v>0</v>
      </c>
      <c r="J33" s="43">
        <f t="shared" si="8"/>
        <v>0</v>
      </c>
      <c r="K33" s="43">
        <f t="shared" si="8"/>
        <v>0</v>
      </c>
      <c r="L33" s="43">
        <f t="shared" si="8"/>
        <v>0</v>
      </c>
      <c r="M33" s="43">
        <f t="shared" si="8"/>
        <v>0</v>
      </c>
      <c r="N33" s="43">
        <f t="shared" si="8"/>
        <v>0</v>
      </c>
      <c r="O33" s="43">
        <f>SUM(C33:N33)</f>
        <v>0</v>
      </c>
    </row>
    <row r="34" spans="1:15" ht="15.75" thickBot="1">
      <c r="B34" s="48" t="s">
        <v>127</v>
      </c>
      <c r="C34" s="49">
        <f>C30+C31-C32+C33</f>
        <v>0</v>
      </c>
      <c r="D34" s="49">
        <f t="shared" ref="D34:N34" si="9">D30+D31-D32+D33</f>
        <v>0</v>
      </c>
      <c r="E34" s="49">
        <f t="shared" si="9"/>
        <v>0</v>
      </c>
      <c r="F34" s="49">
        <f t="shared" si="9"/>
        <v>0</v>
      </c>
      <c r="G34" s="49">
        <f t="shared" si="9"/>
        <v>0</v>
      </c>
      <c r="H34" s="49">
        <f t="shared" si="9"/>
        <v>0</v>
      </c>
      <c r="I34" s="49">
        <f t="shared" si="9"/>
        <v>0</v>
      </c>
      <c r="J34" s="49">
        <f t="shared" si="9"/>
        <v>0</v>
      </c>
      <c r="K34" s="49">
        <f t="shared" si="9"/>
        <v>0</v>
      </c>
      <c r="L34" s="49">
        <f t="shared" si="9"/>
        <v>0</v>
      </c>
      <c r="M34" s="49">
        <f t="shared" si="9"/>
        <v>0</v>
      </c>
      <c r="N34" s="49">
        <f t="shared" si="9"/>
        <v>0</v>
      </c>
      <c r="O34" s="49">
        <f>SUM(C34:N34)</f>
        <v>0</v>
      </c>
    </row>
    <row r="35" spans="1:15" ht="15.75" thickTop="1">
      <c r="C35" s="43"/>
      <c r="D35" s="43"/>
      <c r="E35" s="43"/>
      <c r="F35" s="43"/>
      <c r="G35" s="43"/>
      <c r="H35" s="43"/>
      <c r="I35" s="43"/>
      <c r="J35" s="43"/>
      <c r="K35" s="43"/>
      <c r="L35" s="43"/>
      <c r="M35" s="43"/>
      <c r="N35" s="43"/>
      <c r="O35" s="43" t="s">
        <v>88</v>
      </c>
    </row>
    <row r="36" spans="1:15" ht="15.75">
      <c r="B36" s="56" t="s">
        <v>128</v>
      </c>
      <c r="C36" s="57"/>
      <c r="D36" s="57"/>
      <c r="E36" s="57">
        <f>E18-E20-E30</f>
        <v>0</v>
      </c>
      <c r="F36" s="57" t="s">
        <v>88</v>
      </c>
      <c r="G36" s="57"/>
      <c r="H36" s="57"/>
      <c r="I36" s="57"/>
      <c r="J36" s="57"/>
      <c r="K36" s="57"/>
      <c r="L36" s="57"/>
      <c r="M36" s="57"/>
      <c r="N36" s="57"/>
      <c r="O36" s="57" t="s">
        <v>88</v>
      </c>
    </row>
    <row r="37" spans="1:15">
      <c r="B37" s="58" t="s">
        <v>129</v>
      </c>
      <c r="C37" s="59">
        <f t="shared" ref="C37:N37" si="10">IF(C21&gt;C34,C21-C34,0)</f>
        <v>0</v>
      </c>
      <c r="D37" s="59">
        <f t="shared" si="10"/>
        <v>0</v>
      </c>
      <c r="E37" s="59">
        <f t="shared" si="10"/>
        <v>0</v>
      </c>
      <c r="F37" s="59">
        <f t="shared" si="10"/>
        <v>0</v>
      </c>
      <c r="G37" s="59">
        <f t="shared" si="10"/>
        <v>0</v>
      </c>
      <c r="H37" s="59">
        <f t="shared" si="10"/>
        <v>0</v>
      </c>
      <c r="I37" s="59">
        <f t="shared" si="10"/>
        <v>0</v>
      </c>
      <c r="J37" s="59">
        <f t="shared" si="10"/>
        <v>0</v>
      </c>
      <c r="K37" s="59">
        <f t="shared" si="10"/>
        <v>0</v>
      </c>
      <c r="L37" s="59">
        <f t="shared" si="10"/>
        <v>0</v>
      </c>
      <c r="M37" s="59">
        <f t="shared" si="10"/>
        <v>0</v>
      </c>
      <c r="N37" s="59">
        <f t="shared" si="10"/>
        <v>0</v>
      </c>
      <c r="O37" s="59">
        <f>SUM(C37:N37)</f>
        <v>0</v>
      </c>
    </row>
    <row r="38" spans="1:15">
      <c r="B38" s="58" t="s">
        <v>130</v>
      </c>
      <c r="C38" s="59">
        <f>IF(C21&lt;C34,C34-C21,0)</f>
        <v>0</v>
      </c>
      <c r="D38" s="59">
        <f t="shared" ref="D38:N38" si="11">IF(D21&lt;D34,D34-D21,0)</f>
        <v>0</v>
      </c>
      <c r="E38" s="59">
        <f t="shared" si="11"/>
        <v>0</v>
      </c>
      <c r="F38" s="59">
        <f t="shared" si="11"/>
        <v>0</v>
      </c>
      <c r="G38" s="59">
        <f t="shared" si="11"/>
        <v>0</v>
      </c>
      <c r="H38" s="59">
        <f t="shared" si="11"/>
        <v>0</v>
      </c>
      <c r="I38" s="59">
        <f t="shared" si="11"/>
        <v>0</v>
      </c>
      <c r="J38" s="59">
        <f t="shared" si="11"/>
        <v>0</v>
      </c>
      <c r="K38" s="59">
        <f t="shared" si="11"/>
        <v>0</v>
      </c>
      <c r="L38" s="59">
        <f t="shared" si="11"/>
        <v>0</v>
      </c>
      <c r="M38" s="59">
        <f t="shared" si="11"/>
        <v>0</v>
      </c>
      <c r="N38" s="59">
        <f t="shared" si="11"/>
        <v>0</v>
      </c>
      <c r="O38" s="59">
        <f>SUM(C38:N38)</f>
        <v>0</v>
      </c>
    </row>
    <row r="39" spans="1:15">
      <c r="B39" s="58" t="s">
        <v>131</v>
      </c>
      <c r="C39" s="59">
        <v>0</v>
      </c>
      <c r="D39" s="59">
        <f t="shared" ref="D39:N39" si="12">IF(C41&lt;0,C41*-1,C41)</f>
        <v>0</v>
      </c>
      <c r="E39" s="59">
        <f t="shared" si="12"/>
        <v>0</v>
      </c>
      <c r="F39" s="59">
        <f t="shared" si="12"/>
        <v>0</v>
      </c>
      <c r="G39" s="59">
        <f t="shared" si="12"/>
        <v>0</v>
      </c>
      <c r="H39" s="59">
        <f t="shared" si="12"/>
        <v>0</v>
      </c>
      <c r="I39" s="59">
        <f t="shared" si="12"/>
        <v>0</v>
      </c>
      <c r="J39" s="59">
        <f t="shared" si="12"/>
        <v>0</v>
      </c>
      <c r="K39" s="59">
        <f t="shared" si="12"/>
        <v>0</v>
      </c>
      <c r="L39" s="59">
        <f t="shared" si="12"/>
        <v>0</v>
      </c>
      <c r="M39" s="59">
        <f t="shared" si="12"/>
        <v>0</v>
      </c>
      <c r="N39" s="59">
        <f t="shared" si="12"/>
        <v>0</v>
      </c>
      <c r="O39" s="59">
        <f>N41</f>
        <v>0</v>
      </c>
    </row>
    <row r="40" spans="1:15">
      <c r="B40" s="58" t="s">
        <v>132</v>
      </c>
      <c r="C40" s="59">
        <f t="shared" ref="C40:N40" si="13">IF(C37&gt;C39,C37-C39,0)</f>
        <v>0</v>
      </c>
      <c r="D40" s="59">
        <f t="shared" si="13"/>
        <v>0</v>
      </c>
      <c r="E40" s="59">
        <f t="shared" si="13"/>
        <v>0</v>
      </c>
      <c r="F40" s="59">
        <f t="shared" si="13"/>
        <v>0</v>
      </c>
      <c r="G40" s="59">
        <f t="shared" si="13"/>
        <v>0</v>
      </c>
      <c r="H40" s="59">
        <f t="shared" si="13"/>
        <v>0</v>
      </c>
      <c r="I40" s="59">
        <f t="shared" si="13"/>
        <v>0</v>
      </c>
      <c r="J40" s="59">
        <f t="shared" si="13"/>
        <v>0</v>
      </c>
      <c r="K40" s="59">
        <f t="shared" si="13"/>
        <v>0</v>
      </c>
      <c r="L40" s="59">
        <f t="shared" si="13"/>
        <v>0</v>
      </c>
      <c r="M40" s="59">
        <f t="shared" si="13"/>
        <v>0</v>
      </c>
      <c r="N40" s="59">
        <f t="shared" si="13"/>
        <v>0</v>
      </c>
      <c r="O40" s="59">
        <f>SUM(C40:N40)</f>
        <v>0</v>
      </c>
    </row>
    <row r="41" spans="1:15">
      <c r="B41" s="58" t="s">
        <v>133</v>
      </c>
      <c r="C41" s="59">
        <f t="shared" ref="C41:N41" si="14">IF(C40=0,IF(C37=0,C38+C39,C39-C37),0)</f>
        <v>0</v>
      </c>
      <c r="D41" s="59">
        <f t="shared" si="14"/>
        <v>0</v>
      </c>
      <c r="E41" s="59">
        <f t="shared" si="14"/>
        <v>0</v>
      </c>
      <c r="F41" s="59">
        <f t="shared" si="14"/>
        <v>0</v>
      </c>
      <c r="G41" s="59">
        <f t="shared" si="14"/>
        <v>0</v>
      </c>
      <c r="H41" s="59">
        <f t="shared" si="14"/>
        <v>0</v>
      </c>
      <c r="I41" s="59">
        <f t="shared" si="14"/>
        <v>0</v>
      </c>
      <c r="J41" s="59">
        <f t="shared" si="14"/>
        <v>0</v>
      </c>
      <c r="K41" s="59">
        <f t="shared" si="14"/>
        <v>0</v>
      </c>
      <c r="L41" s="59">
        <f t="shared" si="14"/>
        <v>0</v>
      </c>
      <c r="M41" s="59">
        <f t="shared" si="14"/>
        <v>0</v>
      </c>
      <c r="N41" s="59">
        <f t="shared" si="14"/>
        <v>0</v>
      </c>
      <c r="O41" s="59"/>
    </row>
    <row r="42" spans="1:15">
      <c r="B42" s="60"/>
    </row>
  </sheetData>
  <mergeCells count="2">
    <mergeCell ref="A2:N2"/>
    <mergeCell ref="A3:N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3"/>
  <sheetViews>
    <sheetView showGridLines="0" workbookViewId="0">
      <selection activeCell="C13" sqref="C13"/>
    </sheetView>
  </sheetViews>
  <sheetFormatPr baseColWidth="10" defaultColWidth="38.85546875" defaultRowHeight="12.75"/>
  <cols>
    <col min="1" max="1" width="14.140625" style="66" customWidth="1"/>
    <col min="2" max="2" width="38.85546875" style="66"/>
    <col min="3" max="3" width="38.85546875" style="66" customWidth="1"/>
    <col min="4" max="4" width="7" style="66" customWidth="1"/>
    <col min="5" max="5" width="38.85546875" style="83" hidden="1" customWidth="1"/>
    <col min="6" max="6" width="38.85546875" style="85"/>
    <col min="7" max="7" width="38.85546875" style="66"/>
    <col min="8" max="16384" width="38.85546875" style="67"/>
  </cols>
  <sheetData>
    <row r="2" spans="1:7" s="44" customFormat="1">
      <c r="A2" s="61" t="s">
        <v>135</v>
      </c>
      <c r="B2" s="62" t="s">
        <v>165</v>
      </c>
      <c r="C2" s="61"/>
      <c r="D2" s="61"/>
      <c r="E2" s="63"/>
      <c r="F2" s="64"/>
      <c r="G2" s="61"/>
    </row>
    <row r="3" spans="1:7" s="44" customFormat="1">
      <c r="A3" s="61" t="s">
        <v>136</v>
      </c>
      <c r="B3" s="62" t="s">
        <v>166</v>
      </c>
      <c r="C3" s="61"/>
      <c r="D3" s="61"/>
      <c r="E3" s="63"/>
      <c r="F3" s="64"/>
      <c r="G3" s="61"/>
    </row>
    <row r="4" spans="1:7" s="44" customFormat="1">
      <c r="A4" s="61" t="s">
        <v>137</v>
      </c>
      <c r="B4" s="65">
        <v>2023</v>
      </c>
      <c r="C4" s="61"/>
      <c r="D4" s="61"/>
      <c r="E4" s="63"/>
      <c r="F4" s="64"/>
      <c r="G4" s="61"/>
    </row>
    <row r="5" spans="1:7" s="44" customFormat="1">
      <c r="A5" s="61"/>
      <c r="B5" s="61"/>
      <c r="C5" s="61"/>
      <c r="D5" s="61"/>
      <c r="E5" s="63"/>
      <c r="F5" s="64"/>
      <c r="G5" s="61"/>
    </row>
    <row r="6" spans="1:7" ht="23.25">
      <c r="A6" s="61" t="s">
        <v>138</v>
      </c>
      <c r="B6" s="128" t="s">
        <v>167</v>
      </c>
      <c r="C6" s="128"/>
      <c r="D6" s="128"/>
      <c r="E6" s="128"/>
      <c r="F6" s="128"/>
    </row>
    <row r="7" spans="1:7" s="41" customFormat="1">
      <c r="A7" s="61"/>
      <c r="B7" s="68"/>
      <c r="C7" s="69"/>
      <c r="D7" s="68"/>
      <c r="E7" s="70"/>
      <c r="F7" s="68"/>
      <c r="G7" s="68"/>
    </row>
    <row r="8" spans="1:7" s="41" customFormat="1">
      <c r="A8" s="61" t="s">
        <v>88</v>
      </c>
      <c r="B8" s="68"/>
      <c r="C8" s="66"/>
      <c r="D8" s="68"/>
      <c r="E8" s="70"/>
      <c r="F8" s="68"/>
      <c r="G8" s="68"/>
    </row>
    <row r="9" spans="1:7" s="41" customFormat="1">
      <c r="A9" s="61"/>
      <c r="B9" s="71"/>
      <c r="C9" s="72"/>
      <c r="D9" s="71"/>
      <c r="E9" s="73"/>
      <c r="F9" s="71"/>
      <c r="G9" s="68"/>
    </row>
    <row r="10" spans="1:7">
      <c r="B10" s="72"/>
      <c r="C10" s="72"/>
      <c r="D10" s="72"/>
      <c r="E10" s="74"/>
      <c r="F10" s="75" t="s">
        <v>139</v>
      </c>
    </row>
    <row r="11" spans="1:7">
      <c r="B11" s="72"/>
      <c r="C11" s="72"/>
      <c r="D11" s="72"/>
      <c r="E11" s="74"/>
      <c r="F11" s="76" t="s">
        <v>140</v>
      </c>
    </row>
    <row r="12" spans="1:7">
      <c r="A12" s="77"/>
      <c r="B12" s="78" t="s">
        <v>168</v>
      </c>
      <c r="C12" s="72"/>
      <c r="D12" s="72"/>
      <c r="E12" s="79"/>
      <c r="F12" s="80">
        <v>0</v>
      </c>
      <c r="G12" s="81"/>
    </row>
    <row r="13" spans="1:7">
      <c r="A13" s="77"/>
      <c r="B13" s="78" t="s">
        <v>141</v>
      </c>
      <c r="C13" s="72"/>
      <c r="D13" s="72"/>
      <c r="E13" s="79"/>
      <c r="F13" s="82">
        <v>0</v>
      </c>
    </row>
    <row r="14" spans="1:7" ht="15">
      <c r="A14" s="77"/>
      <c r="B14" s="129" t="s">
        <v>142</v>
      </c>
      <c r="C14" s="129"/>
      <c r="D14" s="129"/>
      <c r="F14" s="84">
        <f>+SUM(F12:F13)</f>
        <v>0</v>
      </c>
    </row>
    <row r="15" spans="1:7">
      <c r="A15" s="77"/>
      <c r="B15" s="68"/>
      <c r="C15" s="68"/>
      <c r="D15" s="68"/>
    </row>
    <row r="16" spans="1:7">
      <c r="A16" s="77" t="s">
        <v>143</v>
      </c>
      <c r="B16" s="72" t="s">
        <v>144</v>
      </c>
      <c r="C16" s="72"/>
      <c r="D16" s="72"/>
      <c r="E16" s="74"/>
      <c r="F16" s="82">
        <v>0</v>
      </c>
      <c r="G16" s="86"/>
    </row>
    <row r="17" spans="1:7">
      <c r="A17" s="77"/>
    </row>
    <row r="18" spans="1:7">
      <c r="A18" s="77"/>
      <c r="B18" s="72" t="s">
        <v>145</v>
      </c>
      <c r="C18" s="72"/>
      <c r="D18" s="72"/>
      <c r="E18" s="74"/>
      <c r="F18" s="82">
        <v>0</v>
      </c>
    </row>
    <row r="19" spans="1:7">
      <c r="A19" s="77"/>
      <c r="B19" s="72" t="s">
        <v>169</v>
      </c>
      <c r="C19" s="72"/>
      <c r="D19" s="72"/>
      <c r="E19" s="74"/>
      <c r="F19" s="87">
        <v>0</v>
      </c>
      <c r="G19" s="81"/>
    </row>
    <row r="20" spans="1:7" ht="15">
      <c r="A20" s="77" t="s">
        <v>143</v>
      </c>
      <c r="B20" s="88" t="s">
        <v>146</v>
      </c>
      <c r="F20" s="84">
        <f>SUM(F18:F19)</f>
        <v>0</v>
      </c>
    </row>
    <row r="21" spans="1:7">
      <c r="A21" s="89" t="s">
        <v>147</v>
      </c>
    </row>
    <row r="22" spans="1:7">
      <c r="A22" s="77" t="s">
        <v>148</v>
      </c>
      <c r="B22" s="66" t="s">
        <v>149</v>
      </c>
      <c r="F22" s="90">
        <f>+F14-F16-F20</f>
        <v>0</v>
      </c>
      <c r="G22" s="81"/>
    </row>
    <row r="23" spans="1:7">
      <c r="A23" s="77" t="s">
        <v>143</v>
      </c>
      <c r="B23" s="66" t="s">
        <v>150</v>
      </c>
      <c r="F23" s="91" t="e">
        <f>VLOOKUP(F22,'[1]TARIFAS ANUALES '!C4:F14,1,1)</f>
        <v>#N/A</v>
      </c>
      <c r="G23" s="92"/>
    </row>
    <row r="24" spans="1:7">
      <c r="A24" s="77" t="s">
        <v>148</v>
      </c>
      <c r="B24" s="93" t="s">
        <v>151</v>
      </c>
      <c r="F24" s="85" t="e">
        <f>+F22-F23</f>
        <v>#N/A</v>
      </c>
      <c r="G24" s="94"/>
    </row>
    <row r="25" spans="1:7">
      <c r="A25" s="77" t="s">
        <v>152</v>
      </c>
      <c r="B25" s="66" t="s">
        <v>153</v>
      </c>
      <c r="F25" s="95" t="e">
        <f>VLOOKUP(F22,'[1]TARIFAS ANUALES '!C4:F14,4,1)</f>
        <v>#N/A</v>
      </c>
      <c r="G25" s="96"/>
    </row>
    <row r="26" spans="1:7">
      <c r="A26" s="77" t="s">
        <v>148</v>
      </c>
      <c r="B26" s="66" t="s">
        <v>154</v>
      </c>
      <c r="F26" s="85" t="e">
        <f>+F24*F25</f>
        <v>#N/A</v>
      </c>
      <c r="G26" s="94"/>
    </row>
    <row r="27" spans="1:7">
      <c r="A27" s="77" t="s">
        <v>155</v>
      </c>
      <c r="B27" s="66" t="s">
        <v>156</v>
      </c>
      <c r="F27" s="91" t="e">
        <f>VLOOKUP(F22,'[1]TARIFAS ANUALES '!C4:E14,3,1)</f>
        <v>#N/A</v>
      </c>
      <c r="G27" s="92"/>
    </row>
    <row r="28" spans="1:7">
      <c r="A28" s="77" t="s">
        <v>148</v>
      </c>
      <c r="B28" s="72" t="s">
        <v>157</v>
      </c>
      <c r="C28" s="72"/>
      <c r="D28" s="72"/>
      <c r="E28" s="74"/>
      <c r="F28" s="82" t="e">
        <f>+F26+F27</f>
        <v>#N/A</v>
      </c>
      <c r="G28" s="94"/>
    </row>
    <row r="29" spans="1:7">
      <c r="A29" s="77" t="s">
        <v>143</v>
      </c>
      <c r="B29" s="72" t="s">
        <v>158</v>
      </c>
      <c r="C29" s="72"/>
      <c r="D29" s="72"/>
      <c r="E29" s="74"/>
      <c r="F29" s="82">
        <v>0</v>
      </c>
    </row>
    <row r="30" spans="1:7">
      <c r="A30" s="77" t="s">
        <v>148</v>
      </c>
      <c r="B30" s="72" t="s">
        <v>159</v>
      </c>
      <c r="C30" s="72"/>
      <c r="D30" s="72"/>
      <c r="E30" s="74"/>
      <c r="F30" s="97" t="e">
        <f>+F28-F29</f>
        <v>#N/A</v>
      </c>
      <c r="G30" s="94"/>
    </row>
    <row r="31" spans="1:7">
      <c r="A31" s="77"/>
      <c r="B31" s="130" t="s">
        <v>160</v>
      </c>
      <c r="C31" s="130"/>
      <c r="D31" s="130"/>
      <c r="E31" s="98"/>
      <c r="G31" s="94"/>
    </row>
    <row r="32" spans="1:7">
      <c r="A32" s="77" t="s">
        <v>143</v>
      </c>
      <c r="B32" s="99" t="s">
        <v>161</v>
      </c>
      <c r="C32" s="100"/>
      <c r="D32" s="100"/>
      <c r="E32" s="82">
        <v>0</v>
      </c>
      <c r="F32" s="101">
        <v>0</v>
      </c>
    </row>
    <row r="33" spans="1:8">
      <c r="A33" s="77" t="s">
        <v>143</v>
      </c>
      <c r="B33" s="61" t="s">
        <v>162</v>
      </c>
      <c r="C33" s="88"/>
      <c r="D33" s="88"/>
      <c r="E33" s="85">
        <v>0</v>
      </c>
    </row>
    <row r="34" spans="1:8">
      <c r="A34" s="77" t="s">
        <v>143</v>
      </c>
      <c r="B34" s="131" t="s">
        <v>163</v>
      </c>
      <c r="C34" s="131"/>
      <c r="D34" s="131"/>
      <c r="E34" s="102">
        <v>0</v>
      </c>
      <c r="F34" s="103">
        <f>'[2]Personas Fisicas Act. Emp.'!M44</f>
        <v>8646659.8773956988</v>
      </c>
      <c r="G34" s="104"/>
    </row>
    <row r="35" spans="1:8">
      <c r="A35" s="77"/>
      <c r="B35" s="105"/>
      <c r="C35" s="105"/>
      <c r="D35" s="105"/>
      <c r="E35" s="102">
        <v>0</v>
      </c>
      <c r="F35" s="103"/>
      <c r="G35" s="104"/>
    </row>
    <row r="36" spans="1:8">
      <c r="A36" s="77"/>
      <c r="B36" s="106"/>
      <c r="C36" s="106"/>
      <c r="D36" s="106"/>
      <c r="E36" s="102"/>
      <c r="F36" s="103"/>
      <c r="G36" s="104"/>
    </row>
    <row r="37" spans="1:8">
      <c r="A37" s="77"/>
      <c r="B37" s="107" t="s">
        <v>164</v>
      </c>
      <c r="C37" s="104"/>
      <c r="D37" s="104"/>
      <c r="E37" s="108"/>
      <c r="F37" s="109" t="e">
        <f>F30-F34</f>
        <v>#N/A</v>
      </c>
      <c r="G37" s="104"/>
    </row>
    <row r="38" spans="1:8">
      <c r="B38" s="110"/>
      <c r="C38" s="104"/>
      <c r="D38" s="104"/>
      <c r="E38" s="108"/>
      <c r="F38" s="111" t="e">
        <f>IF(E35&gt;F30,"SALDO A FAVOR", "SALDO A CARGO")</f>
        <v>#N/A</v>
      </c>
      <c r="G38" s="104"/>
    </row>
    <row r="39" spans="1:8">
      <c r="B39" s="110"/>
      <c r="C39" s="104"/>
      <c r="D39" s="104"/>
      <c r="E39" s="108"/>
      <c r="F39" s="103"/>
      <c r="G39" s="112"/>
    </row>
    <row r="40" spans="1:8" ht="15" customHeight="1">
      <c r="B40" s="110"/>
      <c r="C40" s="104"/>
      <c r="D40" s="104"/>
      <c r="E40" s="108"/>
      <c r="F40" s="103"/>
      <c r="G40" s="113"/>
      <c r="H40" s="113"/>
    </row>
    <row r="41" spans="1:8" ht="12.75" customHeight="1">
      <c r="B41" s="104"/>
      <c r="C41" s="104"/>
      <c r="D41" s="104"/>
      <c r="E41" s="108"/>
      <c r="F41" s="103"/>
      <c r="G41" s="113"/>
      <c r="H41" s="113"/>
    </row>
    <row r="42" spans="1:8" ht="12.75" customHeight="1">
      <c r="B42" s="104"/>
      <c r="C42" s="104"/>
      <c r="D42" s="104"/>
      <c r="E42" s="108"/>
      <c r="F42" s="103"/>
      <c r="G42" s="113"/>
      <c r="H42" s="113"/>
    </row>
    <row r="43" spans="1:8" ht="12.75" customHeight="1">
      <c r="G43" s="113"/>
      <c r="H43" s="113"/>
    </row>
  </sheetData>
  <mergeCells count="4">
    <mergeCell ref="B6:F6"/>
    <mergeCell ref="B14:D14"/>
    <mergeCell ref="B31:D31"/>
    <mergeCell ref="B34:D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J232"/>
  <sheetViews>
    <sheetView showGridLines="0" topLeftCell="A188" workbookViewId="0">
      <selection activeCell="F192" sqref="F192"/>
    </sheetView>
  </sheetViews>
  <sheetFormatPr baseColWidth="10" defaultRowHeight="15"/>
  <cols>
    <col min="3" max="3" width="13.85546875" bestFit="1" customWidth="1"/>
    <col min="4" max="4" width="13" bestFit="1" customWidth="1"/>
    <col min="5" max="5" width="13.85546875" customWidth="1"/>
    <col min="6" max="6" width="13" bestFit="1" customWidth="1"/>
    <col min="7" max="7" width="14.140625" bestFit="1" customWidth="1"/>
    <col min="8" max="8" width="15" customWidth="1"/>
    <col min="9" max="9" width="13.85546875" customWidth="1"/>
    <col min="10" max="10" width="25.42578125" customWidth="1"/>
  </cols>
  <sheetData>
    <row r="2" spans="3:10" ht="23.25">
      <c r="C2" s="121" t="s">
        <v>7</v>
      </c>
      <c r="D2" s="121"/>
      <c r="E2" s="121"/>
      <c r="F2" s="121"/>
      <c r="G2" s="121"/>
      <c r="H2" s="121"/>
      <c r="I2" s="121"/>
      <c r="J2" s="121"/>
    </row>
    <row r="3" spans="3:10">
      <c r="J3" s="13"/>
    </row>
    <row r="4" spans="3:10" ht="21">
      <c r="C4" s="118" t="s">
        <v>8</v>
      </c>
      <c r="D4" s="118"/>
      <c r="E4" s="118"/>
      <c r="F4" s="118"/>
      <c r="G4" s="14"/>
      <c r="H4" s="118" t="s">
        <v>9</v>
      </c>
      <c r="I4" s="118"/>
      <c r="J4" s="118"/>
    </row>
    <row r="5" spans="3:10" ht="90">
      <c r="C5" s="15" t="s">
        <v>1</v>
      </c>
      <c r="D5" s="15" t="s">
        <v>2</v>
      </c>
      <c r="E5" s="15" t="s">
        <v>3</v>
      </c>
      <c r="F5" s="15" t="s">
        <v>4</v>
      </c>
      <c r="G5" s="12"/>
      <c r="H5" s="15" t="s">
        <v>10</v>
      </c>
      <c r="I5" s="15" t="s">
        <v>11</v>
      </c>
      <c r="J5" s="15" t="s">
        <v>12</v>
      </c>
    </row>
    <row r="6" spans="3:10" ht="15.75">
      <c r="C6" s="8">
        <v>0.01</v>
      </c>
      <c r="D6" s="8">
        <v>24.54</v>
      </c>
      <c r="E6" s="8">
        <v>0</v>
      </c>
      <c r="F6" s="10">
        <v>1.9199999999999998E-2</v>
      </c>
      <c r="G6" s="16"/>
      <c r="H6" s="8">
        <v>0.01</v>
      </c>
      <c r="I6" s="8">
        <v>58.19</v>
      </c>
      <c r="J6" s="17">
        <v>13.39</v>
      </c>
    </row>
    <row r="7" spans="3:10" ht="15.75">
      <c r="C7" s="8">
        <v>24.55</v>
      </c>
      <c r="D7" s="8">
        <v>208.29</v>
      </c>
      <c r="E7" s="8">
        <v>0.47</v>
      </c>
      <c r="F7" s="10">
        <v>6.4000000000000001E-2</v>
      </c>
      <c r="G7" s="16"/>
      <c r="H7" s="8">
        <v>58.2</v>
      </c>
      <c r="I7" s="8">
        <v>87.28</v>
      </c>
      <c r="J7" s="17">
        <v>13.38</v>
      </c>
    </row>
    <row r="8" spans="3:10" ht="15.75">
      <c r="C8" s="8">
        <v>208.29999999999998</v>
      </c>
      <c r="D8" s="8">
        <v>366.05</v>
      </c>
      <c r="E8" s="8">
        <v>12.23</v>
      </c>
      <c r="F8" s="10">
        <v>0.10880000000000001</v>
      </c>
      <c r="G8" s="16"/>
      <c r="H8" s="8">
        <v>87.29</v>
      </c>
      <c r="I8" s="8">
        <v>114.24</v>
      </c>
      <c r="J8" s="17">
        <v>13.38</v>
      </c>
    </row>
    <row r="9" spans="3:10" ht="15.75">
      <c r="C9" s="8">
        <v>366.06</v>
      </c>
      <c r="D9" s="8">
        <v>425.52</v>
      </c>
      <c r="E9" s="8">
        <v>29.4</v>
      </c>
      <c r="F9" s="10">
        <v>0.16</v>
      </c>
      <c r="G9" s="16"/>
      <c r="H9" s="8">
        <v>114.25</v>
      </c>
      <c r="I9" s="8">
        <v>116.38</v>
      </c>
      <c r="J9" s="17">
        <f>VLOOKUP(F9,'2'!C191:F201,4)</f>
        <v>1.9199999999999998E-2</v>
      </c>
    </row>
    <row r="10" spans="3:10" ht="15.75">
      <c r="C10" s="8">
        <v>425.53</v>
      </c>
      <c r="D10" s="8">
        <v>509.46</v>
      </c>
      <c r="E10" s="8">
        <v>38.909999999999997</v>
      </c>
      <c r="F10" s="10">
        <v>0.17920000000000003</v>
      </c>
      <c r="G10" s="16"/>
      <c r="H10" s="8">
        <v>116.39</v>
      </c>
      <c r="I10" s="8">
        <v>146.25</v>
      </c>
      <c r="J10" s="17">
        <v>12.58</v>
      </c>
    </row>
    <row r="11" spans="3:10" ht="15.75">
      <c r="C11" s="8">
        <v>509.46999999999997</v>
      </c>
      <c r="D11" s="8">
        <v>1027.52</v>
      </c>
      <c r="E11" s="8">
        <v>53.95</v>
      </c>
      <c r="F11" s="10">
        <v>0.21359999999999998</v>
      </c>
      <c r="G11" s="16"/>
      <c r="H11" s="8">
        <v>146.26</v>
      </c>
      <c r="I11" s="8">
        <v>155.16999999999999</v>
      </c>
      <c r="J11" s="17">
        <v>11.65</v>
      </c>
    </row>
    <row r="12" spans="3:10" ht="15.75">
      <c r="C12" s="8">
        <v>1027.53</v>
      </c>
      <c r="D12" s="8">
        <v>1619.51</v>
      </c>
      <c r="E12" s="8">
        <v>164.61</v>
      </c>
      <c r="F12" s="10">
        <v>0.23519999999999999</v>
      </c>
      <c r="G12" s="16"/>
      <c r="H12" s="8">
        <v>155.18</v>
      </c>
      <c r="I12" s="8">
        <v>175.51</v>
      </c>
      <c r="J12" s="17">
        <v>10.69</v>
      </c>
    </row>
    <row r="13" spans="3:10" ht="15.75">
      <c r="C13" s="8">
        <v>1619.52</v>
      </c>
      <c r="D13" s="8">
        <v>3091.9</v>
      </c>
      <c r="E13" s="8">
        <v>303.85000000000002</v>
      </c>
      <c r="F13" s="10">
        <v>0.3</v>
      </c>
      <c r="G13" s="16"/>
      <c r="H13" s="8">
        <v>175.52</v>
      </c>
      <c r="I13" s="8">
        <v>204.76</v>
      </c>
      <c r="J13" s="17">
        <v>9.69</v>
      </c>
    </row>
    <row r="14" spans="3:10" ht="15.75">
      <c r="C14" s="8">
        <v>3091.9100000000003</v>
      </c>
      <c r="D14" s="8">
        <v>4122.54</v>
      </c>
      <c r="E14" s="8">
        <v>745.56</v>
      </c>
      <c r="F14" s="10">
        <v>0.32</v>
      </c>
      <c r="G14" s="16"/>
      <c r="H14" s="8">
        <v>204.77</v>
      </c>
      <c r="I14" s="8">
        <v>234.01</v>
      </c>
      <c r="J14" s="17">
        <v>8.34</v>
      </c>
    </row>
    <row r="15" spans="3:10" ht="15.75">
      <c r="C15" s="8">
        <v>4122.55</v>
      </c>
      <c r="D15" s="8">
        <v>12367.62</v>
      </c>
      <c r="E15" s="8">
        <v>1075.3699999999999</v>
      </c>
      <c r="F15" s="10">
        <v>0.34</v>
      </c>
      <c r="G15" s="16"/>
      <c r="H15" s="8">
        <v>234.02</v>
      </c>
      <c r="I15" s="8">
        <v>242.84</v>
      </c>
      <c r="J15" s="17">
        <v>7.16</v>
      </c>
    </row>
    <row r="16" spans="3:10" ht="15.75">
      <c r="C16" s="8">
        <v>12367.630000000001</v>
      </c>
      <c r="D16" s="8" t="s">
        <v>5</v>
      </c>
      <c r="E16" s="8">
        <v>3878.69</v>
      </c>
      <c r="F16" s="10">
        <v>0.35</v>
      </c>
      <c r="G16" s="16"/>
      <c r="H16" s="8">
        <v>242.85</v>
      </c>
      <c r="I16" s="8" t="s">
        <v>5</v>
      </c>
      <c r="J16" s="17">
        <v>0</v>
      </c>
    </row>
    <row r="22" spans="3:10">
      <c r="C22" s="120" t="s">
        <v>13</v>
      </c>
      <c r="D22" s="120"/>
      <c r="E22" s="120"/>
      <c r="F22" s="120"/>
      <c r="G22" s="120"/>
      <c r="H22" s="120"/>
      <c r="I22" s="120"/>
      <c r="J22" s="120"/>
    </row>
    <row r="23" spans="3:10">
      <c r="C23" s="120"/>
      <c r="D23" s="120"/>
      <c r="E23" s="120"/>
      <c r="F23" s="120"/>
      <c r="G23" s="120"/>
      <c r="H23" s="120"/>
      <c r="I23" s="120"/>
      <c r="J23" s="120"/>
    </row>
    <row r="24" spans="3:10">
      <c r="C24" s="120"/>
      <c r="D24" s="120"/>
      <c r="E24" s="120"/>
      <c r="F24" s="120"/>
      <c r="G24" s="120"/>
      <c r="H24" s="120"/>
      <c r="I24" s="120"/>
      <c r="J24" s="120"/>
    </row>
    <row r="25" spans="3:10" ht="18" customHeight="1">
      <c r="C25" s="120"/>
      <c r="D25" s="120"/>
      <c r="E25" s="120"/>
      <c r="F25" s="120"/>
      <c r="G25" s="120"/>
      <c r="H25" s="120"/>
      <c r="I25" s="120"/>
      <c r="J25" s="120"/>
    </row>
    <row r="26" spans="3:10" ht="75">
      <c r="D26" s="4" t="s">
        <v>14</v>
      </c>
      <c r="E26" s="4" t="s">
        <v>15</v>
      </c>
      <c r="F26" s="4" t="s">
        <v>2</v>
      </c>
      <c r="G26" s="4" t="s">
        <v>3</v>
      </c>
      <c r="H26" s="4" t="s">
        <v>16</v>
      </c>
      <c r="I26" s="4" t="s">
        <v>17</v>
      </c>
    </row>
    <row r="27" spans="3:10" ht="15.75">
      <c r="C27" s="16"/>
      <c r="D27" s="8">
        <v>0.01</v>
      </c>
      <c r="E27" s="8">
        <v>0.01</v>
      </c>
      <c r="F27" s="8">
        <v>24.54</v>
      </c>
      <c r="G27" s="8">
        <v>0</v>
      </c>
      <c r="H27" s="10">
        <v>1.9199999999999998E-2</v>
      </c>
      <c r="I27" s="9">
        <v>13.39</v>
      </c>
      <c r="J27" s="16"/>
    </row>
    <row r="28" spans="3:10" ht="15.75">
      <c r="C28" s="16"/>
      <c r="D28" s="8">
        <f>+F27+0.01</f>
        <v>24.55</v>
      </c>
      <c r="E28" s="8">
        <f>+D28</f>
        <v>24.55</v>
      </c>
      <c r="F28" s="8">
        <v>58.19</v>
      </c>
      <c r="G28" s="8">
        <v>0.47</v>
      </c>
      <c r="H28" s="10">
        <v>6.4000000000000001E-2</v>
      </c>
      <c r="I28" s="9">
        <v>13.39</v>
      </c>
      <c r="J28" s="16"/>
    </row>
    <row r="29" spans="3:10" ht="15.75">
      <c r="C29" s="16"/>
      <c r="D29" s="8">
        <v>24.55</v>
      </c>
      <c r="E29" s="8">
        <v>58.2</v>
      </c>
      <c r="F29" s="8">
        <v>87.28</v>
      </c>
      <c r="G29" s="8">
        <v>0.47</v>
      </c>
      <c r="H29" s="10">
        <v>6.4000000000000001E-2</v>
      </c>
      <c r="I29" s="9">
        <v>13.38</v>
      </c>
      <c r="J29" s="16"/>
    </row>
    <row r="30" spans="3:10" ht="15.75">
      <c r="C30" s="16"/>
      <c r="D30" s="8">
        <v>24.55</v>
      </c>
      <c r="E30" s="8">
        <v>87.29</v>
      </c>
      <c r="F30" s="8">
        <v>114.24</v>
      </c>
      <c r="G30" s="8">
        <v>0.47</v>
      </c>
      <c r="H30" s="10">
        <v>6.4000000000000001E-2</v>
      </c>
      <c r="I30" s="9">
        <v>13.38</v>
      </c>
      <c r="J30" s="16"/>
    </row>
    <row r="31" spans="3:10" ht="15.75">
      <c r="C31" s="16"/>
      <c r="D31" s="8">
        <v>24.55</v>
      </c>
      <c r="E31" s="8">
        <v>114.25</v>
      </c>
      <c r="F31" s="8">
        <v>116.38</v>
      </c>
      <c r="G31" s="8">
        <v>0.47</v>
      </c>
      <c r="H31" s="10">
        <v>6.4000000000000001E-2</v>
      </c>
      <c r="I31" s="9">
        <v>12.92</v>
      </c>
      <c r="J31" s="16"/>
    </row>
    <row r="32" spans="3:10" ht="15.75">
      <c r="C32" s="16"/>
      <c r="D32" s="8">
        <v>24.55</v>
      </c>
      <c r="E32" s="8">
        <v>116.39</v>
      </c>
      <c r="F32" s="8">
        <v>146.25</v>
      </c>
      <c r="G32" s="8">
        <v>0.47</v>
      </c>
      <c r="H32" s="10">
        <v>6.4000000000000001E-2</v>
      </c>
      <c r="I32" s="9">
        <v>12.58</v>
      </c>
      <c r="J32" s="16"/>
    </row>
    <row r="33" spans="3:10" ht="15.75">
      <c r="C33" s="16"/>
      <c r="D33" s="8">
        <v>24.55</v>
      </c>
      <c r="E33" s="8">
        <v>146.26</v>
      </c>
      <c r="F33" s="8">
        <v>155.16999999999999</v>
      </c>
      <c r="G33" s="8">
        <v>0.47</v>
      </c>
      <c r="H33" s="10">
        <v>6.4000000000000001E-2</v>
      </c>
      <c r="I33" s="9">
        <v>11.65</v>
      </c>
      <c r="J33" s="16"/>
    </row>
    <row r="34" spans="3:10" ht="15.75">
      <c r="C34" s="16"/>
      <c r="D34" s="8">
        <v>24.55</v>
      </c>
      <c r="E34" s="8">
        <v>155.18</v>
      </c>
      <c r="F34" s="8">
        <v>175.51</v>
      </c>
      <c r="G34" s="8">
        <v>0.47</v>
      </c>
      <c r="H34" s="10">
        <v>6.4000000000000001E-2</v>
      </c>
      <c r="I34" s="9">
        <v>10.69</v>
      </c>
      <c r="J34" s="16"/>
    </row>
    <row r="35" spans="3:10" ht="15.75">
      <c r="C35" s="16"/>
      <c r="D35" s="8">
        <v>24.55</v>
      </c>
      <c r="E35" s="8">
        <v>175.52</v>
      </c>
      <c r="F35" s="8">
        <v>204.76</v>
      </c>
      <c r="G35" s="8">
        <v>0.47</v>
      </c>
      <c r="H35" s="10">
        <v>6.4000000000000001E-2</v>
      </c>
      <c r="I35" s="9">
        <v>9.69</v>
      </c>
      <c r="J35" s="16"/>
    </row>
    <row r="36" spans="3:10" ht="15.75">
      <c r="C36" s="16"/>
      <c r="D36" s="8">
        <v>24.55</v>
      </c>
      <c r="E36" s="23">
        <v>204.77</v>
      </c>
      <c r="F36" s="23">
        <v>208.29</v>
      </c>
      <c r="G36" s="23">
        <v>0.47</v>
      </c>
      <c r="H36" s="24">
        <v>0.10880000000000001</v>
      </c>
      <c r="I36" s="25">
        <v>9.69</v>
      </c>
      <c r="J36" s="26" t="s">
        <v>30</v>
      </c>
    </row>
    <row r="37" spans="3:10" ht="15.75">
      <c r="C37" s="16"/>
      <c r="D37" s="8">
        <v>208.3</v>
      </c>
      <c r="E37" s="23">
        <v>208.3</v>
      </c>
      <c r="F37" s="23">
        <v>234.01</v>
      </c>
      <c r="G37" s="23">
        <v>12.23</v>
      </c>
      <c r="H37" s="24">
        <v>0.10880000000000001</v>
      </c>
      <c r="I37" s="25">
        <v>8.34</v>
      </c>
      <c r="J37" s="16"/>
    </row>
    <row r="38" spans="3:10" ht="15.75">
      <c r="C38" s="16"/>
      <c r="D38" s="8">
        <v>208.3</v>
      </c>
      <c r="E38" s="8">
        <v>234.02</v>
      </c>
      <c r="F38" s="8">
        <v>242.84</v>
      </c>
      <c r="G38" s="8">
        <v>12.23</v>
      </c>
      <c r="H38" s="10">
        <v>0.10880000000000001</v>
      </c>
      <c r="I38" s="9">
        <v>7.16</v>
      </c>
      <c r="J38" s="16"/>
    </row>
    <row r="39" spans="3:10" ht="15.75">
      <c r="C39" s="16"/>
      <c r="D39" s="8">
        <v>208.3</v>
      </c>
      <c r="E39" s="8">
        <v>242.85</v>
      </c>
      <c r="F39" s="8">
        <v>366.05</v>
      </c>
      <c r="G39" s="8">
        <v>12.23</v>
      </c>
      <c r="H39" s="10">
        <v>0.10880000000000001</v>
      </c>
      <c r="I39" s="9">
        <v>0</v>
      </c>
      <c r="J39" s="16"/>
    </row>
    <row r="40" spans="3:10" ht="15.75">
      <c r="C40" s="16"/>
      <c r="D40" s="8">
        <v>366.06</v>
      </c>
      <c r="E40" s="8">
        <v>366.06</v>
      </c>
      <c r="F40" s="8">
        <v>425.52</v>
      </c>
      <c r="G40" s="8">
        <v>29.4</v>
      </c>
      <c r="H40" s="10">
        <v>0.16</v>
      </c>
      <c r="I40" s="9">
        <v>0</v>
      </c>
      <c r="J40" s="16"/>
    </row>
    <row r="41" spans="3:10" ht="15.75">
      <c r="C41" s="16"/>
      <c r="D41" s="8">
        <v>425.53</v>
      </c>
      <c r="E41" s="8">
        <v>425.53</v>
      </c>
      <c r="F41" s="8">
        <v>509.46</v>
      </c>
      <c r="G41" s="8">
        <v>38.909999999999997</v>
      </c>
      <c r="H41" s="10">
        <v>0.17920000000000003</v>
      </c>
      <c r="I41" s="9">
        <v>0</v>
      </c>
      <c r="J41" s="16"/>
    </row>
    <row r="42" spans="3:10" ht="15.75">
      <c r="C42" s="16"/>
      <c r="D42" s="8">
        <v>509.47</v>
      </c>
      <c r="E42" s="8">
        <v>509.47</v>
      </c>
      <c r="F42" s="8">
        <v>1027.52</v>
      </c>
      <c r="G42" s="8">
        <v>53.95</v>
      </c>
      <c r="H42" s="10">
        <v>0.21359999999999998</v>
      </c>
      <c r="I42" s="9">
        <v>0</v>
      </c>
      <c r="J42" s="16"/>
    </row>
    <row r="43" spans="3:10" ht="15.75">
      <c r="C43" s="16"/>
      <c r="D43" s="8">
        <v>1027.53</v>
      </c>
      <c r="E43" s="8">
        <v>1027.53</v>
      </c>
      <c r="F43" s="8">
        <v>1619.51</v>
      </c>
      <c r="G43" s="8">
        <v>164.61</v>
      </c>
      <c r="H43" s="10">
        <v>0.23519999999999999</v>
      </c>
      <c r="I43" s="9">
        <v>0</v>
      </c>
      <c r="J43" s="16"/>
    </row>
    <row r="44" spans="3:10" ht="15.75">
      <c r="C44" s="16"/>
      <c r="D44" s="8">
        <v>1619.52</v>
      </c>
      <c r="E44" s="8">
        <v>1619.52</v>
      </c>
      <c r="F44" s="8">
        <v>3091.9</v>
      </c>
      <c r="G44" s="8">
        <v>303.85000000000002</v>
      </c>
      <c r="H44" s="10">
        <v>0.3</v>
      </c>
      <c r="I44" s="9">
        <v>0</v>
      </c>
      <c r="J44" s="16"/>
    </row>
    <row r="45" spans="3:10" ht="15.75">
      <c r="C45" s="16"/>
      <c r="D45" s="8">
        <v>3091.91</v>
      </c>
      <c r="E45" s="8">
        <v>3091.91</v>
      </c>
      <c r="F45" s="8">
        <v>4122.54</v>
      </c>
      <c r="G45" s="8">
        <v>745.56</v>
      </c>
      <c r="H45" s="10">
        <v>0.32</v>
      </c>
      <c r="I45" s="9">
        <v>0</v>
      </c>
      <c r="J45" s="16"/>
    </row>
    <row r="46" spans="3:10" ht="15.75">
      <c r="C46" s="16"/>
      <c r="D46" s="8">
        <v>4122.55</v>
      </c>
      <c r="E46" s="8">
        <v>4122.55</v>
      </c>
      <c r="F46" s="8">
        <v>12367.62</v>
      </c>
      <c r="G46" s="8">
        <v>1075.3699999999999</v>
      </c>
      <c r="H46" s="10">
        <v>0.34</v>
      </c>
      <c r="I46" s="9">
        <v>0</v>
      </c>
      <c r="J46" s="16"/>
    </row>
    <row r="47" spans="3:10" ht="15.75">
      <c r="C47" s="16"/>
      <c r="D47" s="8">
        <v>12367.63</v>
      </c>
      <c r="E47" s="8">
        <v>12367.63</v>
      </c>
      <c r="F47" s="8" t="s">
        <v>5</v>
      </c>
      <c r="G47" s="8">
        <v>3878.69</v>
      </c>
      <c r="H47" s="10">
        <v>0.35</v>
      </c>
      <c r="I47" s="9">
        <v>0</v>
      </c>
      <c r="J47" s="16"/>
    </row>
    <row r="48" spans="3:10">
      <c r="D48" s="6"/>
      <c r="E48" s="6"/>
      <c r="F48" s="5"/>
      <c r="G48" s="6"/>
      <c r="H48" s="18"/>
      <c r="I48" s="19"/>
    </row>
    <row r="49" spans="3:10" ht="21">
      <c r="C49" s="118" t="s">
        <v>18</v>
      </c>
      <c r="D49" s="118"/>
      <c r="E49" s="118"/>
      <c r="F49" s="118"/>
      <c r="G49" s="14"/>
      <c r="H49" s="118" t="s">
        <v>19</v>
      </c>
      <c r="I49" s="118"/>
      <c r="J49" s="118"/>
    </row>
    <row r="50" spans="3:10" ht="90">
      <c r="C50" s="15" t="s">
        <v>1</v>
      </c>
      <c r="D50" s="15" t="s">
        <v>2</v>
      </c>
      <c r="E50" s="15" t="s">
        <v>3</v>
      </c>
      <c r="F50" s="15" t="s">
        <v>4</v>
      </c>
      <c r="G50" s="12"/>
      <c r="H50" s="15" t="s">
        <v>10</v>
      </c>
      <c r="I50" s="15" t="s">
        <v>11</v>
      </c>
      <c r="J50" s="15" t="s">
        <v>12</v>
      </c>
    </row>
    <row r="51" spans="3:10" ht="15.75">
      <c r="C51" s="27">
        <v>0.01</v>
      </c>
      <c r="D51" s="9">
        <v>171.78</v>
      </c>
      <c r="E51" s="9">
        <v>0</v>
      </c>
      <c r="F51" s="10">
        <v>1.9199999999999998E-2</v>
      </c>
      <c r="G51" s="16"/>
      <c r="H51" s="7">
        <v>0.01</v>
      </c>
      <c r="I51" s="7">
        <v>407.33</v>
      </c>
      <c r="J51" s="20">
        <v>93.73</v>
      </c>
    </row>
    <row r="52" spans="3:10" ht="15.75">
      <c r="C52" s="27">
        <f>+D51+0.01</f>
        <v>171.79</v>
      </c>
      <c r="D52" s="8">
        <v>1458.03</v>
      </c>
      <c r="E52" s="7">
        <v>3.29</v>
      </c>
      <c r="F52" s="10">
        <v>6.4000000000000001E-2</v>
      </c>
      <c r="G52" s="16"/>
      <c r="H52" s="7">
        <v>407.34</v>
      </c>
      <c r="I52" s="7">
        <v>610.96</v>
      </c>
      <c r="J52" s="20">
        <v>93.66</v>
      </c>
    </row>
    <row r="53" spans="3:10" ht="15.75">
      <c r="C53" s="27">
        <f t="shared" ref="C53:C61" si="0">+D52+0.01</f>
        <v>1458.04</v>
      </c>
      <c r="D53" s="8">
        <v>2562.35</v>
      </c>
      <c r="E53" s="7">
        <v>85.61</v>
      </c>
      <c r="F53" s="10">
        <v>0.10880000000000001</v>
      </c>
      <c r="G53" s="16"/>
      <c r="H53" s="7">
        <v>610.97</v>
      </c>
      <c r="I53" s="7">
        <v>799.68</v>
      </c>
      <c r="J53" s="20">
        <v>93.66</v>
      </c>
    </row>
    <row r="54" spans="3:10" ht="15.75">
      <c r="C54" s="27">
        <f t="shared" si="0"/>
        <v>2562.36</v>
      </c>
      <c r="D54" s="8">
        <v>2978.64</v>
      </c>
      <c r="E54" s="7">
        <v>205.8</v>
      </c>
      <c r="F54" s="10">
        <v>0.16</v>
      </c>
      <c r="G54" s="16"/>
      <c r="H54" s="7">
        <v>799.69</v>
      </c>
      <c r="I54" s="7">
        <v>814.66</v>
      </c>
      <c r="J54" s="20">
        <v>90.44</v>
      </c>
    </row>
    <row r="55" spans="3:10" ht="15.75">
      <c r="C55" s="27">
        <f t="shared" si="0"/>
        <v>2978.65</v>
      </c>
      <c r="D55" s="8">
        <v>3566.22</v>
      </c>
      <c r="E55" s="7">
        <v>272.37</v>
      </c>
      <c r="F55" s="10">
        <v>0.17920000000000003</v>
      </c>
      <c r="G55" s="16"/>
      <c r="H55" s="7">
        <v>814.67</v>
      </c>
      <c r="I55" s="8">
        <v>1023.75</v>
      </c>
      <c r="J55" s="20">
        <v>88.06</v>
      </c>
    </row>
    <row r="56" spans="3:10" ht="15.75">
      <c r="C56" s="27">
        <f t="shared" si="0"/>
        <v>3566.23</v>
      </c>
      <c r="D56" s="8">
        <v>7192.64</v>
      </c>
      <c r="E56" s="7">
        <v>377.65</v>
      </c>
      <c r="F56" s="10">
        <v>0.21359999999999998</v>
      </c>
      <c r="G56" s="16"/>
      <c r="H56" s="8">
        <v>1023.76</v>
      </c>
      <c r="I56" s="8">
        <v>1086.19</v>
      </c>
      <c r="J56" s="20">
        <v>81.55</v>
      </c>
    </row>
    <row r="57" spans="3:10" ht="15.75">
      <c r="C57" s="27">
        <f t="shared" si="0"/>
        <v>7192.6500000000005</v>
      </c>
      <c r="D57" s="8">
        <v>11336.57</v>
      </c>
      <c r="E57" s="7">
        <v>1152.27</v>
      </c>
      <c r="F57" s="10">
        <v>0.23519999999999999</v>
      </c>
      <c r="G57" s="16"/>
      <c r="H57" s="8">
        <v>1086.2</v>
      </c>
      <c r="I57" s="8">
        <v>1228.57</v>
      </c>
      <c r="J57" s="20">
        <v>74.83</v>
      </c>
    </row>
    <row r="58" spans="3:10" ht="15.75">
      <c r="C58" s="27">
        <f t="shared" si="0"/>
        <v>11336.58</v>
      </c>
      <c r="D58" s="8">
        <v>21643.3</v>
      </c>
      <c r="E58" s="8">
        <v>2126.9499999999998</v>
      </c>
      <c r="F58" s="10">
        <v>0.3</v>
      </c>
      <c r="G58" s="16"/>
      <c r="H58" s="8">
        <v>1228.58</v>
      </c>
      <c r="I58" s="8">
        <v>1433.32</v>
      </c>
      <c r="J58" s="20">
        <v>67.83</v>
      </c>
    </row>
    <row r="59" spans="3:10" ht="15.75">
      <c r="C59" s="27">
        <f t="shared" si="0"/>
        <v>21643.309999999998</v>
      </c>
      <c r="D59" s="8">
        <v>28857.78</v>
      </c>
      <c r="E59" s="8">
        <v>5218.92</v>
      </c>
      <c r="F59" s="10">
        <v>0.32</v>
      </c>
      <c r="G59" s="16"/>
      <c r="H59" s="8">
        <v>1433.33</v>
      </c>
      <c r="I59" s="8">
        <v>1638.07</v>
      </c>
      <c r="J59" s="20">
        <v>58.38</v>
      </c>
    </row>
    <row r="60" spans="3:10" ht="15.75">
      <c r="C60" s="27">
        <f t="shared" si="0"/>
        <v>28857.789999999997</v>
      </c>
      <c r="D60" s="8">
        <v>86573.34</v>
      </c>
      <c r="E60" s="8">
        <v>7527.59</v>
      </c>
      <c r="F60" s="10">
        <v>0.34</v>
      </c>
      <c r="G60" s="16"/>
      <c r="H60" s="8">
        <v>1638.08</v>
      </c>
      <c r="I60" s="8">
        <v>1699.88</v>
      </c>
      <c r="J60" s="20">
        <v>50.12</v>
      </c>
    </row>
    <row r="61" spans="3:10" ht="15.75">
      <c r="C61" s="27">
        <f t="shared" si="0"/>
        <v>86573.349999999991</v>
      </c>
      <c r="D61" s="7" t="s">
        <v>5</v>
      </c>
      <c r="E61" s="8">
        <v>27150.83</v>
      </c>
      <c r="F61" s="10">
        <v>0.35</v>
      </c>
      <c r="G61" s="16"/>
      <c r="H61" s="8">
        <v>1699.89</v>
      </c>
      <c r="I61" s="7" t="s">
        <v>5</v>
      </c>
      <c r="J61" s="21">
        <v>0</v>
      </c>
    </row>
    <row r="62" spans="3:10" ht="15.75">
      <c r="C62" s="16"/>
      <c r="D62" s="16"/>
      <c r="E62" s="16"/>
      <c r="F62" s="16"/>
      <c r="G62" s="16"/>
      <c r="H62" s="16"/>
      <c r="I62" s="16"/>
      <c r="J62" s="16"/>
    </row>
    <row r="63" spans="3:10" ht="15.75">
      <c r="C63" s="16"/>
      <c r="D63" s="16"/>
      <c r="E63" s="16"/>
      <c r="F63" s="16"/>
      <c r="G63" s="16"/>
      <c r="H63" s="16"/>
      <c r="I63" s="16"/>
      <c r="J63" s="16"/>
    </row>
    <row r="66" spans="3:10">
      <c r="C66" s="120" t="s">
        <v>20</v>
      </c>
      <c r="D66" s="120"/>
      <c r="E66" s="120"/>
      <c r="F66" s="120"/>
      <c r="G66" s="120"/>
      <c r="H66" s="120"/>
      <c r="I66" s="120"/>
      <c r="J66" s="120"/>
    </row>
    <row r="67" spans="3:10">
      <c r="C67" s="120"/>
      <c r="D67" s="120"/>
      <c r="E67" s="120"/>
      <c r="F67" s="120"/>
      <c r="G67" s="120"/>
      <c r="H67" s="120"/>
      <c r="I67" s="120"/>
      <c r="J67" s="120"/>
    </row>
    <row r="68" spans="3:10" ht="15" customHeight="1">
      <c r="C68" s="120"/>
      <c r="D68" s="120"/>
      <c r="E68" s="120"/>
      <c r="F68" s="120"/>
      <c r="G68" s="120"/>
      <c r="H68" s="120"/>
      <c r="I68" s="120"/>
      <c r="J68" s="120"/>
    </row>
    <row r="69" spans="3:10" ht="15" customHeight="1">
      <c r="C69" s="120"/>
      <c r="D69" s="120"/>
      <c r="E69" s="120"/>
      <c r="F69" s="120"/>
      <c r="G69" s="120"/>
      <c r="H69" s="120"/>
      <c r="I69" s="120"/>
      <c r="J69" s="120"/>
    </row>
    <row r="70" spans="3:10" ht="18" customHeight="1">
      <c r="C70" s="120"/>
      <c r="D70" s="120"/>
      <c r="E70" s="120"/>
      <c r="F70" s="120"/>
      <c r="G70" s="120"/>
      <c r="H70" s="120"/>
      <c r="I70" s="120"/>
      <c r="J70" s="120"/>
    </row>
    <row r="71" spans="3:10" ht="75">
      <c r="D71" s="4" t="s">
        <v>14</v>
      </c>
      <c r="E71" s="4" t="s">
        <v>15</v>
      </c>
      <c r="F71" s="4" t="s">
        <v>2</v>
      </c>
      <c r="G71" s="4" t="s">
        <v>3</v>
      </c>
      <c r="H71" s="4" t="s">
        <v>16</v>
      </c>
      <c r="I71" s="4" t="s">
        <v>21</v>
      </c>
    </row>
    <row r="72" spans="3:10" ht="15.75">
      <c r="D72" s="7">
        <v>0.01</v>
      </c>
      <c r="E72" s="7">
        <v>0.01</v>
      </c>
      <c r="F72" s="7">
        <v>171.78</v>
      </c>
      <c r="G72" s="9">
        <v>0</v>
      </c>
      <c r="H72" s="10">
        <v>1.9199999999999998E-2</v>
      </c>
      <c r="I72" s="7">
        <v>93.73</v>
      </c>
    </row>
    <row r="73" spans="3:10" ht="15.75">
      <c r="D73" s="7">
        <v>171.79</v>
      </c>
      <c r="E73" s="27">
        <v>171.79</v>
      </c>
      <c r="F73" s="7">
        <v>407.33</v>
      </c>
      <c r="G73" s="7">
        <v>3.29</v>
      </c>
      <c r="H73" s="10">
        <v>6.4000000000000001E-2</v>
      </c>
      <c r="I73" s="7">
        <v>93.73</v>
      </c>
    </row>
    <row r="74" spans="3:10" ht="15.75">
      <c r="D74" s="7">
        <v>407.34</v>
      </c>
      <c r="E74" s="27">
        <v>407.34</v>
      </c>
      <c r="F74" s="7">
        <v>610.96</v>
      </c>
      <c r="G74" s="7">
        <v>3.29</v>
      </c>
      <c r="H74" s="10">
        <v>6.4000000000000001E-2</v>
      </c>
      <c r="I74" s="7">
        <v>93.66</v>
      </c>
    </row>
    <row r="75" spans="3:10" ht="15.75">
      <c r="D75" s="7">
        <v>610.97</v>
      </c>
      <c r="E75" s="27">
        <v>610.97</v>
      </c>
      <c r="F75" s="7">
        <v>799.68</v>
      </c>
      <c r="G75" s="7">
        <v>3.29</v>
      </c>
      <c r="H75" s="10">
        <v>6.4000000000000001E-2</v>
      </c>
      <c r="I75" s="7">
        <v>93.66</v>
      </c>
    </row>
    <row r="76" spans="3:10" ht="15.75">
      <c r="D76" s="7">
        <v>799.68999999999994</v>
      </c>
      <c r="E76" s="27">
        <v>799.68999999999994</v>
      </c>
      <c r="F76" s="7">
        <v>814.66</v>
      </c>
      <c r="G76" s="7">
        <v>3.29</v>
      </c>
      <c r="H76" s="10">
        <v>6.4000000000000001E-2</v>
      </c>
      <c r="I76" s="7">
        <v>90.44</v>
      </c>
    </row>
    <row r="77" spans="3:10" ht="15.75">
      <c r="D77" s="7">
        <v>814.67</v>
      </c>
      <c r="E77" s="27">
        <v>814.67</v>
      </c>
      <c r="F77" s="8">
        <v>1023.75</v>
      </c>
      <c r="G77" s="7">
        <v>3.29</v>
      </c>
      <c r="H77" s="10">
        <v>6.4000000000000001E-2</v>
      </c>
      <c r="I77" s="7">
        <v>88.06</v>
      </c>
    </row>
    <row r="78" spans="3:10" ht="15.75">
      <c r="D78" s="7">
        <v>1023.76</v>
      </c>
      <c r="E78" s="27">
        <v>1023.76</v>
      </c>
      <c r="F78" s="8">
        <v>1086.19</v>
      </c>
      <c r="G78" s="7">
        <v>3.29</v>
      </c>
      <c r="H78" s="10">
        <v>6.4000000000000001E-2</v>
      </c>
      <c r="I78" s="7">
        <v>81.55</v>
      </c>
    </row>
    <row r="79" spans="3:10" ht="15.75">
      <c r="D79" s="7">
        <v>1086.2</v>
      </c>
      <c r="E79" s="27">
        <v>1086.2</v>
      </c>
      <c r="F79" s="8">
        <v>1228.57</v>
      </c>
      <c r="G79" s="7">
        <v>3.29</v>
      </c>
      <c r="H79" s="10">
        <v>6.4000000000000001E-2</v>
      </c>
      <c r="I79" s="7">
        <v>74.83</v>
      </c>
    </row>
    <row r="80" spans="3:10" ht="15.75">
      <c r="D80" s="28">
        <v>1228.58</v>
      </c>
      <c r="E80" s="29">
        <v>1228.58</v>
      </c>
      <c r="F80" s="23">
        <v>1433.32</v>
      </c>
      <c r="G80" s="28">
        <v>3.29</v>
      </c>
      <c r="H80" s="24">
        <v>6.4000000000000001E-2</v>
      </c>
      <c r="I80" s="28">
        <v>67.83</v>
      </c>
      <c r="J80" s="26" t="s">
        <v>30</v>
      </c>
    </row>
    <row r="81" spans="4:9" ht="15.75">
      <c r="D81" s="23">
        <v>1259.73</v>
      </c>
      <c r="E81" s="29">
        <v>1433.33</v>
      </c>
      <c r="F81" s="23">
        <v>1458.03</v>
      </c>
      <c r="G81" s="28">
        <v>3.29</v>
      </c>
      <c r="H81" s="24">
        <v>0.10880000000000001</v>
      </c>
      <c r="I81" s="28">
        <v>67.83</v>
      </c>
    </row>
    <row r="82" spans="4:9" ht="15.75">
      <c r="D82" s="8">
        <v>1259.73</v>
      </c>
      <c r="E82" s="27">
        <v>1458.04</v>
      </c>
      <c r="F82" s="8">
        <v>1638.07</v>
      </c>
      <c r="G82" s="7">
        <v>85.61</v>
      </c>
      <c r="H82" s="10">
        <v>0.10880000000000001</v>
      </c>
      <c r="I82" s="7">
        <v>58.38</v>
      </c>
    </row>
    <row r="83" spans="4:9" ht="15.75">
      <c r="D83" s="8">
        <v>1259.73</v>
      </c>
      <c r="E83" s="27">
        <v>1638.08</v>
      </c>
      <c r="F83" s="8">
        <v>1699.88</v>
      </c>
      <c r="G83" s="7">
        <v>85.61</v>
      </c>
      <c r="H83" s="10">
        <v>0.10880000000000001</v>
      </c>
      <c r="I83" s="7">
        <v>50.12</v>
      </c>
    </row>
    <row r="84" spans="4:9" ht="15.75">
      <c r="D84" s="8">
        <v>1259.73</v>
      </c>
      <c r="E84" s="27">
        <v>1699.89</v>
      </c>
      <c r="F84" s="8">
        <v>2562.35</v>
      </c>
      <c r="G84" s="7">
        <v>85.61</v>
      </c>
      <c r="H84" s="10">
        <v>0.10880000000000001</v>
      </c>
      <c r="I84" s="9">
        <v>0</v>
      </c>
    </row>
    <row r="85" spans="4:9" ht="15.75">
      <c r="D85" s="8">
        <v>2213.9</v>
      </c>
      <c r="E85" s="27">
        <v>2562.36</v>
      </c>
      <c r="F85" s="8">
        <v>2978.64</v>
      </c>
      <c r="G85" s="9">
        <v>205.8</v>
      </c>
      <c r="H85" s="10">
        <v>0.16</v>
      </c>
      <c r="I85" s="9">
        <v>0</v>
      </c>
    </row>
    <row r="86" spans="4:9" ht="15.75">
      <c r="D86" s="8">
        <v>2573.56</v>
      </c>
      <c r="E86" s="27">
        <v>2978.65</v>
      </c>
      <c r="F86" s="8">
        <v>3566.22</v>
      </c>
      <c r="G86" s="7">
        <v>272.37</v>
      </c>
      <c r="H86" s="10">
        <v>0.17920000000000003</v>
      </c>
      <c r="I86" s="9">
        <v>0</v>
      </c>
    </row>
    <row r="87" spans="4:9" ht="15.75">
      <c r="D87" s="8">
        <v>3081.27</v>
      </c>
      <c r="E87" s="27">
        <v>3566.23</v>
      </c>
      <c r="F87" s="8">
        <v>7192.64</v>
      </c>
      <c r="G87" s="7">
        <v>377.65</v>
      </c>
      <c r="H87" s="10">
        <v>0.21359999999999998</v>
      </c>
      <c r="I87" s="9">
        <v>0</v>
      </c>
    </row>
    <row r="88" spans="4:9" ht="15.75">
      <c r="D88" s="8">
        <v>6214.47</v>
      </c>
      <c r="E88" s="27">
        <v>7192.6500000000005</v>
      </c>
      <c r="F88" s="8">
        <v>11336.67</v>
      </c>
      <c r="G88" s="7">
        <v>1152.27</v>
      </c>
      <c r="H88" s="10">
        <v>0.23519999999999999</v>
      </c>
      <c r="I88" s="9">
        <v>0</v>
      </c>
    </row>
    <row r="89" spans="4:9" ht="15.75">
      <c r="D89" s="8">
        <v>9794.83</v>
      </c>
      <c r="E89" s="27">
        <v>11336.68</v>
      </c>
      <c r="F89" s="8">
        <v>21643</v>
      </c>
      <c r="G89" s="8">
        <v>2126.9499999999998</v>
      </c>
      <c r="H89" s="10">
        <v>0.3</v>
      </c>
      <c r="I89" s="9">
        <v>0</v>
      </c>
    </row>
    <row r="90" spans="4:9" ht="15.75">
      <c r="D90" s="8">
        <v>18699.95</v>
      </c>
      <c r="E90" s="27">
        <v>21643.01</v>
      </c>
      <c r="F90" s="8">
        <v>28857.78</v>
      </c>
      <c r="G90" s="8">
        <v>5218.92</v>
      </c>
      <c r="H90" s="10">
        <v>0.32</v>
      </c>
      <c r="I90" s="9">
        <v>0</v>
      </c>
    </row>
    <row r="91" spans="4:9" ht="15.75">
      <c r="D91" s="8">
        <v>24933.31</v>
      </c>
      <c r="E91" s="27">
        <v>28857.789999999997</v>
      </c>
      <c r="F91" s="8">
        <v>86573.34</v>
      </c>
      <c r="G91" s="8">
        <v>7527.59</v>
      </c>
      <c r="H91" s="10">
        <v>0.34</v>
      </c>
      <c r="I91" s="9">
        <v>0</v>
      </c>
    </row>
    <row r="92" spans="4:9" ht="15.75">
      <c r="D92" s="8">
        <v>74799.839999999997</v>
      </c>
      <c r="E92" s="27">
        <v>86573.349999999991</v>
      </c>
      <c r="F92" s="7" t="s">
        <v>5</v>
      </c>
      <c r="G92" s="8">
        <v>27150.83</v>
      </c>
      <c r="H92" s="10">
        <v>0.35</v>
      </c>
      <c r="I92" s="9">
        <v>0</v>
      </c>
    </row>
    <row r="93" spans="4:9">
      <c r="D93" s="6"/>
      <c r="E93" s="6"/>
      <c r="F93" s="5"/>
      <c r="G93" s="6"/>
      <c r="H93" s="18"/>
      <c r="I93" s="19"/>
    </row>
    <row r="94" spans="4:9">
      <c r="D94" s="6"/>
      <c r="E94" s="6"/>
      <c r="F94" s="5"/>
      <c r="G94" s="6"/>
      <c r="H94" s="18"/>
      <c r="I94" s="19"/>
    </row>
    <row r="95" spans="4:9">
      <c r="D95" s="6"/>
      <c r="E95" s="6"/>
      <c r="F95" s="5"/>
      <c r="G95" s="6"/>
      <c r="H95" s="18"/>
      <c r="I95" s="19"/>
    </row>
    <row r="96" spans="4:9">
      <c r="D96" s="6"/>
      <c r="E96" s="6"/>
      <c r="F96" s="5"/>
      <c r="G96" s="6"/>
      <c r="H96" s="18"/>
      <c r="I96" s="19"/>
    </row>
    <row r="97" spans="3:10">
      <c r="D97" s="6"/>
      <c r="E97" s="6"/>
      <c r="F97" s="5"/>
      <c r="G97" s="6"/>
      <c r="H97" s="18"/>
      <c r="I97" s="19"/>
    </row>
    <row r="98" spans="3:10">
      <c r="D98" s="6"/>
      <c r="E98" s="6"/>
      <c r="F98" s="5"/>
      <c r="G98" s="6"/>
      <c r="H98" s="18"/>
      <c r="I98" s="19"/>
    </row>
    <row r="99" spans="3:10" ht="21">
      <c r="C99" s="118" t="s">
        <v>22</v>
      </c>
      <c r="D99" s="118"/>
      <c r="E99" s="118"/>
      <c r="F99" s="118"/>
      <c r="G99" s="14"/>
      <c r="H99" s="118" t="s">
        <v>23</v>
      </c>
      <c r="I99" s="118"/>
      <c r="J99" s="118"/>
    </row>
    <row r="100" spans="3:10" ht="90">
      <c r="C100" s="15" t="s">
        <v>1</v>
      </c>
      <c r="D100" s="15" t="s">
        <v>2</v>
      </c>
      <c r="E100" s="15" t="s">
        <v>3</v>
      </c>
      <c r="F100" s="15" t="s">
        <v>4</v>
      </c>
      <c r="G100" s="22"/>
      <c r="H100" s="15" t="s">
        <v>10</v>
      </c>
      <c r="I100" s="15" t="s">
        <v>11</v>
      </c>
      <c r="J100" s="15" t="s">
        <v>24</v>
      </c>
    </row>
    <row r="101" spans="3:10" ht="15.75">
      <c r="C101" s="27">
        <v>0.01</v>
      </c>
      <c r="D101" s="9">
        <v>245.4</v>
      </c>
      <c r="E101" s="8">
        <v>0</v>
      </c>
      <c r="F101" s="10">
        <v>1.9199999999999998E-2</v>
      </c>
      <c r="G101" s="16"/>
      <c r="H101" s="8">
        <v>0.01</v>
      </c>
      <c r="I101" s="8">
        <v>581.9</v>
      </c>
      <c r="J101" s="21">
        <v>133.9</v>
      </c>
    </row>
    <row r="102" spans="3:10" ht="15.75">
      <c r="C102" s="27">
        <f>+D101+0.01</f>
        <v>245.41</v>
      </c>
      <c r="D102" s="8">
        <v>2082.9</v>
      </c>
      <c r="E102" s="8">
        <v>4.7</v>
      </c>
      <c r="F102" s="10">
        <v>6.4000000000000001E-2</v>
      </c>
      <c r="G102" s="16"/>
      <c r="H102" s="8">
        <v>581.91</v>
      </c>
      <c r="I102" s="8">
        <v>872.8</v>
      </c>
      <c r="J102" s="21">
        <v>133.80000000000001</v>
      </c>
    </row>
    <row r="103" spans="3:10" ht="15.75">
      <c r="C103" s="27">
        <f t="shared" ref="C103:C111" si="1">+D102+0.01</f>
        <v>2082.9100000000003</v>
      </c>
      <c r="D103" s="8">
        <v>3660.5</v>
      </c>
      <c r="E103" s="8">
        <v>122.3</v>
      </c>
      <c r="F103" s="10">
        <v>0.10880000000000001</v>
      </c>
      <c r="G103" s="16"/>
      <c r="H103" s="8">
        <v>872.81</v>
      </c>
      <c r="I103" s="8">
        <v>1142.4000000000001</v>
      </c>
      <c r="J103" s="21">
        <v>133.80000000000001</v>
      </c>
    </row>
    <row r="104" spans="3:10" ht="15.75">
      <c r="C104" s="27">
        <f t="shared" si="1"/>
        <v>3660.51</v>
      </c>
      <c r="D104" s="8">
        <v>4255.2</v>
      </c>
      <c r="E104" s="8">
        <v>294</v>
      </c>
      <c r="F104" s="10">
        <v>0.16</v>
      </c>
      <c r="G104" s="16"/>
      <c r="H104" s="8">
        <v>1142.4100000000001</v>
      </c>
      <c r="I104" s="8">
        <v>1163.8</v>
      </c>
      <c r="J104" s="21">
        <v>129.19999999999999</v>
      </c>
    </row>
    <row r="105" spans="3:10" ht="15.75">
      <c r="C105" s="27">
        <f t="shared" si="1"/>
        <v>4255.21</v>
      </c>
      <c r="D105" s="8">
        <v>5094.6000000000004</v>
      </c>
      <c r="E105" s="8">
        <v>389.1</v>
      </c>
      <c r="F105" s="10">
        <v>0.17920000000000003</v>
      </c>
      <c r="G105" s="16"/>
      <c r="H105" s="8">
        <v>1163.81</v>
      </c>
      <c r="I105" s="8">
        <v>1462.5</v>
      </c>
      <c r="J105" s="21">
        <v>125.8</v>
      </c>
    </row>
    <row r="106" spans="3:10" ht="15.75">
      <c r="C106" s="27">
        <f t="shared" si="1"/>
        <v>5094.6100000000006</v>
      </c>
      <c r="D106" s="8">
        <v>10275</v>
      </c>
      <c r="E106" s="8">
        <v>539.5</v>
      </c>
      <c r="F106" s="10">
        <v>0.21359999999999998</v>
      </c>
      <c r="G106" s="16"/>
      <c r="H106" s="8">
        <v>1462.51</v>
      </c>
      <c r="I106" s="8">
        <v>1551.7</v>
      </c>
      <c r="J106" s="21">
        <v>116.5</v>
      </c>
    </row>
    <row r="107" spans="3:10" ht="15.75">
      <c r="C107" s="27">
        <f t="shared" si="1"/>
        <v>10275.01</v>
      </c>
      <c r="D107" s="8">
        <v>16195.1</v>
      </c>
      <c r="E107" s="8">
        <v>1646.1</v>
      </c>
      <c r="F107" s="10">
        <v>0.23519999999999999</v>
      </c>
      <c r="G107" s="16"/>
      <c r="H107" s="8">
        <v>1551.71</v>
      </c>
      <c r="I107" s="8">
        <v>1755.1</v>
      </c>
      <c r="J107" s="21">
        <v>106.9</v>
      </c>
    </row>
    <row r="108" spans="3:10" ht="15.75">
      <c r="C108" s="27">
        <f t="shared" si="1"/>
        <v>16195.11</v>
      </c>
      <c r="D108" s="8">
        <v>30919</v>
      </c>
      <c r="E108" s="8">
        <v>3038.5</v>
      </c>
      <c r="F108" s="10">
        <v>0.3</v>
      </c>
      <c r="G108" s="16"/>
      <c r="H108" s="8">
        <v>1755.11</v>
      </c>
      <c r="I108" s="8">
        <v>2047.6</v>
      </c>
      <c r="J108" s="21">
        <v>96.9</v>
      </c>
    </row>
    <row r="109" spans="3:10" ht="15.75">
      <c r="C109" s="27">
        <f t="shared" si="1"/>
        <v>30919.01</v>
      </c>
      <c r="D109" s="8">
        <v>41225.4</v>
      </c>
      <c r="E109" s="8">
        <v>7455.6</v>
      </c>
      <c r="F109" s="10">
        <v>0.32</v>
      </c>
      <c r="G109" s="16"/>
      <c r="H109" s="8">
        <v>2047.61</v>
      </c>
      <c r="I109" s="8">
        <v>2340.1</v>
      </c>
      <c r="J109" s="21">
        <v>83.4</v>
      </c>
    </row>
    <row r="110" spans="3:10" ht="15.75">
      <c r="C110" s="27">
        <f t="shared" si="1"/>
        <v>41225.410000000003</v>
      </c>
      <c r="D110" s="8">
        <v>123676.2</v>
      </c>
      <c r="E110" s="8">
        <v>10753.7</v>
      </c>
      <c r="F110" s="10">
        <v>0.34</v>
      </c>
      <c r="G110" s="16"/>
      <c r="H110" s="8">
        <v>2340.11</v>
      </c>
      <c r="I110" s="8">
        <v>2428.4</v>
      </c>
      <c r="J110" s="21">
        <v>71.599999999999994</v>
      </c>
    </row>
    <row r="111" spans="3:10" ht="15.75">
      <c r="C111" s="27">
        <f t="shared" si="1"/>
        <v>123676.20999999999</v>
      </c>
      <c r="D111" s="7" t="s">
        <v>5</v>
      </c>
      <c r="E111" s="8">
        <v>38786.9</v>
      </c>
      <c r="F111" s="10">
        <v>0.35</v>
      </c>
      <c r="G111" s="16"/>
      <c r="H111" s="8">
        <v>2428.41</v>
      </c>
      <c r="I111" s="8" t="s">
        <v>5</v>
      </c>
      <c r="J111" s="21">
        <v>0</v>
      </c>
    </row>
    <row r="120" spans="3:10" ht="18">
      <c r="C120" s="119" t="s">
        <v>25</v>
      </c>
      <c r="D120" s="119"/>
      <c r="E120" s="119"/>
      <c r="F120" s="119"/>
      <c r="G120" s="119"/>
      <c r="H120" s="119"/>
      <c r="I120" s="119"/>
      <c r="J120" s="119"/>
    </row>
    <row r="121" spans="3:10" ht="75">
      <c r="D121" s="4" t="s">
        <v>14</v>
      </c>
      <c r="E121" s="4" t="s">
        <v>15</v>
      </c>
      <c r="F121" s="4" t="s">
        <v>2</v>
      </c>
      <c r="G121" s="4" t="s">
        <v>3</v>
      </c>
      <c r="H121" s="4" t="s">
        <v>16</v>
      </c>
      <c r="I121" s="4" t="s">
        <v>26</v>
      </c>
    </row>
    <row r="122" spans="3:10" ht="15.75">
      <c r="D122" s="8">
        <v>0.01</v>
      </c>
      <c r="E122" s="8">
        <v>0.01</v>
      </c>
      <c r="F122" s="8">
        <v>245.4</v>
      </c>
      <c r="G122" s="8">
        <v>0</v>
      </c>
      <c r="H122" s="10">
        <v>1.9199999999999998E-2</v>
      </c>
      <c r="I122" s="9">
        <v>133.9</v>
      </c>
    </row>
    <row r="123" spans="3:10" ht="15.75">
      <c r="D123" s="8">
        <v>245.41</v>
      </c>
      <c r="E123" s="8">
        <v>245.41</v>
      </c>
      <c r="F123" s="8">
        <v>581.9</v>
      </c>
      <c r="G123" s="8">
        <v>4.0999999999999996</v>
      </c>
      <c r="H123" s="10">
        <v>6.4000000000000001E-2</v>
      </c>
      <c r="I123" s="9">
        <v>133.9</v>
      </c>
    </row>
    <row r="124" spans="3:10" ht="15.75">
      <c r="D124" s="8">
        <v>245.41</v>
      </c>
      <c r="E124" s="8">
        <v>581.91</v>
      </c>
      <c r="F124" s="8">
        <v>872.8</v>
      </c>
      <c r="G124" s="8">
        <v>4.0999999999999996</v>
      </c>
      <c r="H124" s="10">
        <v>6.4000000000000001E-2</v>
      </c>
      <c r="I124" s="9">
        <v>133.80000000000001</v>
      </c>
    </row>
    <row r="125" spans="3:10" ht="15.75">
      <c r="D125" s="8">
        <v>245.41</v>
      </c>
      <c r="E125" s="8">
        <v>872.81</v>
      </c>
      <c r="F125" s="8">
        <v>1142.4000000000001</v>
      </c>
      <c r="G125" s="8">
        <v>4.0999999999999996</v>
      </c>
      <c r="H125" s="10">
        <v>6.4000000000000001E-2</v>
      </c>
      <c r="I125" s="9">
        <v>133.80000000000001</v>
      </c>
    </row>
    <row r="126" spans="3:10" ht="15.75">
      <c r="D126" s="8">
        <v>245.41</v>
      </c>
      <c r="E126" s="8">
        <v>1142.4100000000001</v>
      </c>
      <c r="F126" s="8">
        <v>1163.8</v>
      </c>
      <c r="G126" s="8">
        <v>4.0999999999999996</v>
      </c>
      <c r="H126" s="10">
        <v>6.4000000000000001E-2</v>
      </c>
      <c r="I126" s="9">
        <v>129.19999999999999</v>
      </c>
    </row>
    <row r="127" spans="3:10" ht="15.75">
      <c r="D127" s="8">
        <v>245.41</v>
      </c>
      <c r="E127" s="8">
        <v>1163.81</v>
      </c>
      <c r="F127" s="8">
        <v>1462.5</v>
      </c>
      <c r="G127" s="8">
        <v>4.0999999999999996</v>
      </c>
      <c r="H127" s="10">
        <v>6.4000000000000001E-2</v>
      </c>
      <c r="I127" s="9">
        <v>125.8</v>
      </c>
    </row>
    <row r="128" spans="3:10" ht="15.75">
      <c r="D128" s="8">
        <v>245.41</v>
      </c>
      <c r="E128" s="8">
        <v>1462.51</v>
      </c>
      <c r="F128" s="8">
        <v>1551.7</v>
      </c>
      <c r="G128" s="8">
        <v>4.0999999999999996</v>
      </c>
      <c r="H128" s="10">
        <v>6.4000000000000001E-2</v>
      </c>
      <c r="I128" s="9">
        <v>116.5</v>
      </c>
    </row>
    <row r="129" spans="3:10" ht="15.75">
      <c r="D129" s="8">
        <v>245.41</v>
      </c>
      <c r="E129" s="8">
        <v>1551.71</v>
      </c>
      <c r="F129" s="8">
        <v>1755.1</v>
      </c>
      <c r="G129" s="8">
        <v>4.0999999999999996</v>
      </c>
      <c r="H129" s="10">
        <v>6.4000000000000001E-2</v>
      </c>
      <c r="I129" s="9">
        <v>106.9</v>
      </c>
    </row>
    <row r="130" spans="3:10" ht="15.75">
      <c r="D130" s="23">
        <v>245.41</v>
      </c>
      <c r="E130" s="23">
        <v>1755.11</v>
      </c>
      <c r="F130" s="23">
        <v>2047.6</v>
      </c>
      <c r="G130" s="23">
        <v>4.0999999999999996</v>
      </c>
      <c r="H130" s="24">
        <v>6.4000000000000001E-2</v>
      </c>
      <c r="I130" s="25">
        <v>96.9</v>
      </c>
      <c r="J130" s="26" t="s">
        <v>30</v>
      </c>
    </row>
    <row r="131" spans="3:10" ht="15.75">
      <c r="D131" s="23">
        <v>245.41</v>
      </c>
      <c r="E131" s="23">
        <v>2047.61</v>
      </c>
      <c r="F131" s="23">
        <v>2082.9</v>
      </c>
      <c r="G131" s="23">
        <v>105.7</v>
      </c>
      <c r="H131" s="24">
        <v>0.10880000000000001</v>
      </c>
      <c r="I131" s="25">
        <v>96.9</v>
      </c>
    </row>
    <row r="132" spans="3:10" ht="15.75">
      <c r="D132" s="8">
        <v>2082.91</v>
      </c>
      <c r="E132" s="8">
        <v>2082.9100000000003</v>
      </c>
      <c r="F132" s="8">
        <v>2340.1</v>
      </c>
      <c r="G132" s="8">
        <v>105.7</v>
      </c>
      <c r="H132" s="10">
        <v>0.10880000000000001</v>
      </c>
      <c r="I132" s="9">
        <v>83.4</v>
      </c>
    </row>
    <row r="133" spans="3:10" ht="15.75">
      <c r="D133" s="8">
        <v>2082.91</v>
      </c>
      <c r="E133" s="8">
        <v>2340.11</v>
      </c>
      <c r="F133" s="8">
        <v>2428.4</v>
      </c>
      <c r="G133" s="8">
        <v>105.7</v>
      </c>
      <c r="H133" s="10">
        <v>0.10880000000000001</v>
      </c>
      <c r="I133" s="9">
        <v>71.599999999999994</v>
      </c>
    </row>
    <row r="134" spans="3:10" ht="15.75">
      <c r="D134" s="8">
        <v>2082.91</v>
      </c>
      <c r="E134" s="8">
        <v>2428.4100000000003</v>
      </c>
      <c r="F134" s="8">
        <v>3660.5</v>
      </c>
      <c r="G134" s="8">
        <v>105.7</v>
      </c>
      <c r="H134" s="10">
        <v>0.10880000000000001</v>
      </c>
      <c r="I134" s="9">
        <v>0</v>
      </c>
    </row>
    <row r="135" spans="3:10" ht="15.75">
      <c r="D135" s="8">
        <v>3660.51</v>
      </c>
      <c r="E135" s="8">
        <v>3660.51</v>
      </c>
      <c r="F135" s="8">
        <v>4255.2</v>
      </c>
      <c r="G135" s="8">
        <v>254</v>
      </c>
      <c r="H135" s="10">
        <v>0.16</v>
      </c>
      <c r="I135" s="9">
        <v>0</v>
      </c>
    </row>
    <row r="136" spans="3:10" ht="15.75">
      <c r="D136" s="8">
        <v>4255.21</v>
      </c>
      <c r="E136" s="8">
        <v>4255.21</v>
      </c>
      <c r="F136" s="8">
        <v>5094.6000000000004</v>
      </c>
      <c r="G136" s="8">
        <v>336.2</v>
      </c>
      <c r="H136" s="10">
        <v>0.17920000000000003</v>
      </c>
      <c r="I136" s="9">
        <v>0</v>
      </c>
    </row>
    <row r="137" spans="3:10" ht="15.75">
      <c r="D137" s="8">
        <v>5094.6099999999997</v>
      </c>
      <c r="E137" s="8">
        <v>5094.6100000000006</v>
      </c>
      <c r="F137" s="8">
        <v>10275.4</v>
      </c>
      <c r="G137" s="8">
        <v>466.2</v>
      </c>
      <c r="H137" s="10">
        <v>0.21359999999999998</v>
      </c>
      <c r="I137" s="9">
        <v>0</v>
      </c>
    </row>
    <row r="138" spans="3:10" ht="15.75">
      <c r="D138" s="8">
        <v>10275.209999999999</v>
      </c>
      <c r="E138" s="8">
        <v>10275.41</v>
      </c>
      <c r="F138" s="8">
        <v>16195.1</v>
      </c>
      <c r="G138" s="8">
        <v>1422.2</v>
      </c>
      <c r="H138" s="10">
        <v>0.23519999999999999</v>
      </c>
      <c r="I138" s="9">
        <v>0</v>
      </c>
    </row>
    <row r="139" spans="3:10" ht="15.75">
      <c r="D139" s="8">
        <v>16195.11</v>
      </c>
      <c r="E139" s="8">
        <v>16195.11</v>
      </c>
      <c r="F139" s="8">
        <v>30919</v>
      </c>
      <c r="G139" s="8">
        <v>2625.2</v>
      </c>
      <c r="H139" s="10">
        <v>0.3</v>
      </c>
      <c r="I139" s="9">
        <v>0</v>
      </c>
    </row>
    <row r="140" spans="3:10" ht="15.75">
      <c r="D140" s="8">
        <v>30919.01</v>
      </c>
      <c r="E140" s="8">
        <v>30919.01</v>
      </c>
      <c r="F140" s="8">
        <v>41225.4</v>
      </c>
      <c r="G140" s="8">
        <v>6441.7</v>
      </c>
      <c r="H140" s="10">
        <v>0.32</v>
      </c>
      <c r="I140" s="9">
        <v>0</v>
      </c>
    </row>
    <row r="141" spans="3:10" ht="15.75">
      <c r="D141" s="8">
        <v>41225.410000000003</v>
      </c>
      <c r="E141" s="8">
        <v>41225.410000000003</v>
      </c>
      <c r="F141" s="8">
        <v>123676.2</v>
      </c>
      <c r="G141" s="8">
        <v>9291.2000000000007</v>
      </c>
      <c r="H141" s="10">
        <v>0.34</v>
      </c>
      <c r="I141" s="9">
        <v>0</v>
      </c>
    </row>
    <row r="142" spans="3:10" ht="15.75">
      <c r="D142" s="8">
        <v>123676.21</v>
      </c>
      <c r="E142" s="8">
        <v>123676.20999999999</v>
      </c>
      <c r="F142" s="8" t="s">
        <v>5</v>
      </c>
      <c r="G142" s="8">
        <v>33512.1</v>
      </c>
      <c r="H142" s="10">
        <v>0.35</v>
      </c>
      <c r="I142" s="9">
        <v>0</v>
      </c>
    </row>
    <row r="143" spans="3:10">
      <c r="D143" s="6"/>
      <c r="E143" s="6"/>
      <c r="F143" s="5"/>
      <c r="G143" s="6"/>
      <c r="H143" s="18"/>
      <c r="I143" s="19"/>
    </row>
    <row r="144" spans="3:10" ht="21">
      <c r="C144" s="118" t="s">
        <v>27</v>
      </c>
      <c r="D144" s="118"/>
      <c r="E144" s="118"/>
      <c r="F144" s="118"/>
      <c r="G144" s="14"/>
      <c r="H144" s="118" t="s">
        <v>28</v>
      </c>
      <c r="I144" s="118"/>
      <c r="J144" s="118"/>
    </row>
    <row r="145" spans="3:10" ht="90">
      <c r="C145" s="15" t="s">
        <v>1</v>
      </c>
      <c r="D145" s="15" t="s">
        <v>2</v>
      </c>
      <c r="E145" s="15" t="s">
        <v>3</v>
      </c>
      <c r="F145" s="15" t="s">
        <v>4</v>
      </c>
      <c r="G145" s="22"/>
      <c r="H145" s="15" t="s">
        <v>10</v>
      </c>
      <c r="I145" s="15" t="s">
        <v>11</v>
      </c>
      <c r="J145" s="15" t="s">
        <v>29</v>
      </c>
    </row>
    <row r="146" spans="3:10" ht="15.75">
      <c r="C146" s="8">
        <v>0.01</v>
      </c>
      <c r="D146" s="8">
        <v>368.1</v>
      </c>
      <c r="E146" s="8">
        <v>0</v>
      </c>
      <c r="F146" s="10">
        <v>1.9199999999999998E-2</v>
      </c>
      <c r="G146" s="16"/>
      <c r="H146" s="7">
        <v>0.01</v>
      </c>
      <c r="I146" s="7">
        <v>872.85</v>
      </c>
      <c r="J146" s="20">
        <v>200.85</v>
      </c>
    </row>
    <row r="147" spans="3:10" ht="15.75">
      <c r="C147" s="8">
        <v>368.11</v>
      </c>
      <c r="D147" s="8">
        <v>3124.35</v>
      </c>
      <c r="E147" s="8">
        <v>7.05</v>
      </c>
      <c r="F147" s="10">
        <v>6.4000000000000001E-2</v>
      </c>
      <c r="G147" s="16"/>
      <c r="H147" s="7">
        <v>872.86</v>
      </c>
      <c r="I147" s="8">
        <v>1309.2</v>
      </c>
      <c r="J147" s="17">
        <v>200.7</v>
      </c>
    </row>
    <row r="148" spans="3:10" ht="15.75">
      <c r="C148" s="8">
        <v>3124.36</v>
      </c>
      <c r="D148" s="8">
        <v>5490.75</v>
      </c>
      <c r="E148" s="8">
        <v>183.45</v>
      </c>
      <c r="F148" s="10">
        <v>0.10880000000000001</v>
      </c>
      <c r="G148" s="16"/>
      <c r="H148" s="8">
        <v>1309.21</v>
      </c>
      <c r="I148" s="8">
        <v>1713.6</v>
      </c>
      <c r="J148" s="17">
        <v>200.7</v>
      </c>
    </row>
    <row r="149" spans="3:10" ht="15.75">
      <c r="C149" s="8">
        <v>5490.76</v>
      </c>
      <c r="D149" s="8">
        <v>6382.8</v>
      </c>
      <c r="E149" s="8">
        <v>441</v>
      </c>
      <c r="F149" s="10">
        <v>0.16</v>
      </c>
      <c r="G149" s="16"/>
      <c r="H149" s="8">
        <v>1713.61</v>
      </c>
      <c r="I149" s="8">
        <v>1745.7</v>
      </c>
      <c r="J149" s="17">
        <v>193.8</v>
      </c>
    </row>
    <row r="150" spans="3:10" ht="15.75">
      <c r="C150" s="8">
        <v>6382.81</v>
      </c>
      <c r="D150" s="8">
        <v>7641.9</v>
      </c>
      <c r="E150" s="8">
        <v>583.65</v>
      </c>
      <c r="F150" s="10">
        <v>0.17920000000000003</v>
      </c>
      <c r="G150" s="16"/>
      <c r="H150" s="8">
        <v>1745.71</v>
      </c>
      <c r="I150" s="8">
        <v>2193.75</v>
      </c>
      <c r="J150" s="17">
        <v>188.7</v>
      </c>
    </row>
    <row r="151" spans="3:10" ht="15.75">
      <c r="C151" s="8">
        <v>7641.91</v>
      </c>
      <c r="D151" s="8">
        <v>15412.8</v>
      </c>
      <c r="E151" s="8">
        <v>809.25</v>
      </c>
      <c r="F151" s="10">
        <v>0.21359999999999998</v>
      </c>
      <c r="G151" s="16"/>
      <c r="H151" s="8">
        <v>2193.7600000000002</v>
      </c>
      <c r="I151" s="8">
        <v>2327.5500000000002</v>
      </c>
      <c r="J151" s="17">
        <v>174.75</v>
      </c>
    </row>
    <row r="152" spans="3:10" ht="15.75">
      <c r="C152" s="8">
        <v>15412.81</v>
      </c>
      <c r="D152" s="8">
        <v>24292.65</v>
      </c>
      <c r="E152" s="8">
        <v>2469.15</v>
      </c>
      <c r="F152" s="10">
        <v>0.23519999999999999</v>
      </c>
      <c r="G152" s="16"/>
      <c r="H152" s="8">
        <v>2327.56</v>
      </c>
      <c r="I152" s="8">
        <v>2632.65</v>
      </c>
      <c r="J152" s="17">
        <v>160.35</v>
      </c>
    </row>
    <row r="153" spans="3:10" ht="15.75">
      <c r="C153" s="8">
        <v>24292.66</v>
      </c>
      <c r="D153" s="8">
        <v>46378.5</v>
      </c>
      <c r="E153" s="8">
        <v>4557.75</v>
      </c>
      <c r="F153" s="10">
        <v>0.3</v>
      </c>
      <c r="G153" s="16"/>
      <c r="H153" s="8">
        <v>2632.66</v>
      </c>
      <c r="I153" s="8">
        <v>3071.4</v>
      </c>
      <c r="J153" s="17">
        <v>145.35</v>
      </c>
    </row>
    <row r="154" spans="3:10" ht="15.75">
      <c r="C154" s="8">
        <v>46378.51</v>
      </c>
      <c r="D154" s="8">
        <v>61838.1</v>
      </c>
      <c r="E154" s="8">
        <v>11183.4</v>
      </c>
      <c r="F154" s="10">
        <v>0.32</v>
      </c>
      <c r="G154" s="16"/>
      <c r="H154" s="8">
        <v>3071.41</v>
      </c>
      <c r="I154" s="8">
        <v>3510.15</v>
      </c>
      <c r="J154" s="17">
        <v>125.1</v>
      </c>
    </row>
    <row r="155" spans="3:10" ht="15.75">
      <c r="C155" s="8">
        <v>61838.11</v>
      </c>
      <c r="D155" s="8">
        <v>185514.3</v>
      </c>
      <c r="E155" s="8">
        <v>16130.55</v>
      </c>
      <c r="F155" s="10">
        <v>0.34</v>
      </c>
      <c r="G155" s="16"/>
      <c r="H155" s="8">
        <v>3510.16</v>
      </c>
      <c r="I155" s="8">
        <v>3642.6</v>
      </c>
      <c r="J155" s="17">
        <v>107.4</v>
      </c>
    </row>
    <row r="156" spans="3:10" ht="15.75">
      <c r="C156" s="8">
        <v>185514.31</v>
      </c>
      <c r="D156" s="8" t="s">
        <v>5</v>
      </c>
      <c r="E156" s="8">
        <v>58180.35</v>
      </c>
      <c r="F156" s="10">
        <v>0.35</v>
      </c>
      <c r="G156" s="16"/>
      <c r="H156" s="8">
        <v>3642.61</v>
      </c>
      <c r="I156" s="7" t="s">
        <v>5</v>
      </c>
      <c r="J156" s="17">
        <v>0</v>
      </c>
    </row>
    <row r="160" spans="3:10" ht="18">
      <c r="C160" s="117" t="s">
        <v>31</v>
      </c>
      <c r="D160" s="117"/>
      <c r="E160" s="117"/>
      <c r="F160" s="117"/>
      <c r="G160" s="117"/>
      <c r="H160" s="117"/>
      <c r="I160" s="117"/>
      <c r="J160" s="117"/>
    </row>
    <row r="161" spans="4:9" ht="75">
      <c r="D161" s="4" t="s">
        <v>14</v>
      </c>
      <c r="E161" s="4" t="s">
        <v>15</v>
      </c>
      <c r="F161" s="4" t="s">
        <v>2</v>
      </c>
      <c r="G161" s="4" t="s">
        <v>3</v>
      </c>
      <c r="H161" s="4" t="s">
        <v>32</v>
      </c>
      <c r="I161" s="4" t="s">
        <v>33</v>
      </c>
    </row>
    <row r="162" spans="4:9" ht="15.75">
      <c r="D162" s="7">
        <v>0.01</v>
      </c>
      <c r="E162" s="7">
        <v>0.01</v>
      </c>
      <c r="F162" s="7">
        <v>318</v>
      </c>
      <c r="G162" s="9">
        <v>0</v>
      </c>
      <c r="H162" s="10">
        <v>1.9199999999999998E-2</v>
      </c>
      <c r="I162" s="9">
        <v>200.85</v>
      </c>
    </row>
    <row r="163" spans="4:9" ht="15.75">
      <c r="D163" s="7">
        <v>368.11</v>
      </c>
      <c r="E163" s="7">
        <v>318.01</v>
      </c>
      <c r="F163" s="7">
        <v>872.85</v>
      </c>
      <c r="G163" s="27">
        <v>7.05</v>
      </c>
      <c r="H163" s="10">
        <v>6.4000000000000001E-2</v>
      </c>
      <c r="I163" s="9">
        <v>200.85</v>
      </c>
    </row>
    <row r="164" spans="4:9" ht="15.75">
      <c r="D164" s="7">
        <v>318.01</v>
      </c>
      <c r="E164" s="7">
        <v>872.86</v>
      </c>
      <c r="F164" s="8">
        <v>1309.2</v>
      </c>
      <c r="G164" s="27">
        <v>7.05</v>
      </c>
      <c r="H164" s="10">
        <v>6.4000000000000001E-2</v>
      </c>
      <c r="I164" s="9">
        <v>200.7</v>
      </c>
    </row>
    <row r="165" spans="4:9" ht="15.75">
      <c r="D165" s="7">
        <v>318.01</v>
      </c>
      <c r="E165" s="7">
        <v>1309.21</v>
      </c>
      <c r="F165" s="8">
        <v>1713.6</v>
      </c>
      <c r="G165" s="27">
        <v>7.05</v>
      </c>
      <c r="H165" s="10">
        <v>6.4000000000000001E-2</v>
      </c>
      <c r="I165" s="9">
        <v>200.7</v>
      </c>
    </row>
    <row r="166" spans="4:9" ht="15.75">
      <c r="D166" s="7">
        <v>318.01</v>
      </c>
      <c r="E166" s="7">
        <v>1713.61</v>
      </c>
      <c r="F166" s="8">
        <v>1745.7</v>
      </c>
      <c r="G166" s="27">
        <v>7.05</v>
      </c>
      <c r="H166" s="10">
        <v>6.4000000000000001E-2</v>
      </c>
      <c r="I166" s="9">
        <v>193.8</v>
      </c>
    </row>
    <row r="167" spans="4:9" ht="15.75">
      <c r="D167" s="7">
        <v>318.01</v>
      </c>
      <c r="E167" s="7">
        <v>1745.71</v>
      </c>
      <c r="F167" s="8">
        <v>2193.75</v>
      </c>
      <c r="G167" s="27">
        <v>7.05</v>
      </c>
      <c r="H167" s="10">
        <v>6.4000000000000001E-2</v>
      </c>
      <c r="I167" s="9">
        <v>188.7</v>
      </c>
    </row>
    <row r="168" spans="4:9" ht="15.75">
      <c r="D168" s="7">
        <v>318.01</v>
      </c>
      <c r="E168" s="7">
        <v>2193.7600000000002</v>
      </c>
      <c r="F168" s="8">
        <v>2327.5500000000002</v>
      </c>
      <c r="G168" s="27">
        <v>7.05</v>
      </c>
      <c r="H168" s="10">
        <v>6.4000000000000001E-2</v>
      </c>
      <c r="I168" s="9">
        <v>174.75</v>
      </c>
    </row>
    <row r="169" spans="4:9" ht="15.75">
      <c r="D169" s="7">
        <v>318.01</v>
      </c>
      <c r="E169" s="7">
        <v>2327.5600000000004</v>
      </c>
      <c r="F169" s="8">
        <v>2632.65</v>
      </c>
      <c r="G169" s="27">
        <v>7.05</v>
      </c>
      <c r="H169" s="10">
        <v>6.4000000000000001E-2</v>
      </c>
      <c r="I169" s="9">
        <v>160.35</v>
      </c>
    </row>
    <row r="170" spans="4:9" ht="15.75">
      <c r="D170" s="8">
        <v>318.01</v>
      </c>
      <c r="E170" s="7">
        <v>2632.6600000000003</v>
      </c>
      <c r="F170" s="8">
        <v>3071.4</v>
      </c>
      <c r="G170" s="27">
        <v>7.05</v>
      </c>
      <c r="H170" s="10">
        <v>6.4000000000000001E-2</v>
      </c>
      <c r="I170" s="9">
        <v>145.35</v>
      </c>
    </row>
    <row r="171" spans="4:9" ht="15.75">
      <c r="D171" s="8">
        <v>2699.41</v>
      </c>
      <c r="E171" s="7">
        <v>3071.4100000000003</v>
      </c>
      <c r="F171" s="8">
        <v>3124.35</v>
      </c>
      <c r="G171" s="27">
        <v>7.05</v>
      </c>
      <c r="H171" s="10">
        <v>0.10880000000000001</v>
      </c>
      <c r="I171" s="9">
        <v>125.1</v>
      </c>
    </row>
    <row r="172" spans="4:9" ht="15.75">
      <c r="D172" s="8">
        <v>2699.41</v>
      </c>
      <c r="E172" s="7">
        <v>3124.36</v>
      </c>
      <c r="F172" s="8">
        <v>3510.15</v>
      </c>
      <c r="G172" s="27">
        <v>183.45</v>
      </c>
      <c r="H172" s="10">
        <v>0.10880000000000001</v>
      </c>
      <c r="I172" s="9">
        <v>125.1</v>
      </c>
    </row>
    <row r="173" spans="4:9" ht="15.75">
      <c r="D173" s="8">
        <v>2699.41</v>
      </c>
      <c r="E173" s="7">
        <v>3510.1600000000003</v>
      </c>
      <c r="F173" s="8">
        <v>3642.6</v>
      </c>
      <c r="G173" s="27">
        <v>183.45</v>
      </c>
      <c r="H173" s="10">
        <v>0.10880000000000001</v>
      </c>
      <c r="I173" s="9">
        <v>107.4</v>
      </c>
    </row>
    <row r="174" spans="4:9" ht="15.75">
      <c r="D174" s="8">
        <v>2699.41</v>
      </c>
      <c r="E174" s="7">
        <v>3642.61</v>
      </c>
      <c r="F174" s="8">
        <v>5490.75</v>
      </c>
      <c r="G174" s="27">
        <v>183.45</v>
      </c>
      <c r="H174" s="10">
        <v>0.10880000000000001</v>
      </c>
      <c r="I174" s="9">
        <v>0</v>
      </c>
    </row>
    <row r="175" spans="4:9" ht="15.75">
      <c r="D175" s="8">
        <v>4744.0600000000004</v>
      </c>
      <c r="E175" s="7">
        <v>5490.76</v>
      </c>
      <c r="F175" s="8">
        <v>6382.8</v>
      </c>
      <c r="G175" s="27">
        <v>441</v>
      </c>
      <c r="H175" s="10">
        <v>0.16</v>
      </c>
      <c r="I175" s="9">
        <v>0</v>
      </c>
    </row>
    <row r="176" spans="4:9" ht="15.75">
      <c r="D176" s="8">
        <v>5514.76</v>
      </c>
      <c r="E176" s="7">
        <v>6382.81</v>
      </c>
      <c r="F176" s="8">
        <v>7641.9</v>
      </c>
      <c r="G176" s="27">
        <v>583.65</v>
      </c>
      <c r="H176" s="10">
        <v>0.17920000000000003</v>
      </c>
      <c r="I176" s="9">
        <v>0</v>
      </c>
    </row>
    <row r="177" spans="3:10" ht="15.75">
      <c r="D177" s="8">
        <v>6602.71</v>
      </c>
      <c r="E177" s="7">
        <v>7641.91</v>
      </c>
      <c r="F177" s="8">
        <v>15412.8</v>
      </c>
      <c r="G177" s="27">
        <v>809.25</v>
      </c>
      <c r="H177" s="10">
        <v>0.21359999999999998</v>
      </c>
      <c r="I177" s="9">
        <v>0</v>
      </c>
    </row>
    <row r="178" spans="3:10" ht="15.75">
      <c r="D178" s="8">
        <v>13316.71</v>
      </c>
      <c r="E178" s="7">
        <v>15412.81</v>
      </c>
      <c r="F178" s="8">
        <v>24292.65</v>
      </c>
      <c r="G178" s="27">
        <v>2469.15</v>
      </c>
      <c r="H178" s="10">
        <v>0.23519999999999999</v>
      </c>
      <c r="I178" s="9">
        <v>0</v>
      </c>
    </row>
    <row r="179" spans="3:10" ht="15.75">
      <c r="D179" s="8">
        <v>20988.91</v>
      </c>
      <c r="E179" s="7">
        <v>24292.66</v>
      </c>
      <c r="F179" s="8">
        <v>46378.5</v>
      </c>
      <c r="G179" s="27">
        <v>4557.75</v>
      </c>
      <c r="H179" s="10">
        <v>0.3</v>
      </c>
      <c r="I179" s="9">
        <v>0</v>
      </c>
    </row>
    <row r="180" spans="3:10" ht="15.75">
      <c r="D180" s="8">
        <v>40071.31</v>
      </c>
      <c r="E180" s="7">
        <v>46378.51</v>
      </c>
      <c r="F180" s="8">
        <v>61838.1</v>
      </c>
      <c r="G180" s="27">
        <v>11183.4</v>
      </c>
      <c r="H180" s="10">
        <v>0.32</v>
      </c>
      <c r="I180" s="9">
        <v>0</v>
      </c>
    </row>
    <row r="181" spans="3:10" ht="15.75">
      <c r="D181" s="8">
        <v>53428.51</v>
      </c>
      <c r="E181" s="7">
        <v>61838.11</v>
      </c>
      <c r="F181" s="8">
        <v>185514.3</v>
      </c>
      <c r="G181" s="27">
        <v>16130.55</v>
      </c>
      <c r="H181" s="10">
        <v>0.34</v>
      </c>
      <c r="I181" s="9">
        <v>0</v>
      </c>
    </row>
    <row r="182" spans="3:10" ht="15.75">
      <c r="D182" s="8">
        <v>160285.35999999999</v>
      </c>
      <c r="E182" s="7">
        <v>185514.31</v>
      </c>
      <c r="F182" s="7" t="s">
        <v>5</v>
      </c>
      <c r="G182" s="27">
        <v>58180.35</v>
      </c>
      <c r="H182" s="10">
        <v>0.35</v>
      </c>
      <c r="I182" s="9">
        <v>0</v>
      </c>
    </row>
    <row r="183" spans="3:10">
      <c r="D183" s="6"/>
      <c r="E183" s="6"/>
      <c r="F183" s="5"/>
      <c r="G183" s="6"/>
      <c r="H183" s="18"/>
      <c r="I183" s="19"/>
    </row>
    <row r="184" spans="3:10">
      <c r="D184" s="6"/>
      <c r="E184" s="6"/>
      <c r="F184" s="5"/>
      <c r="G184" s="6"/>
      <c r="H184" s="18"/>
      <c r="I184" s="19"/>
    </row>
    <row r="185" spans="3:10">
      <c r="D185" s="6"/>
      <c r="E185" s="6"/>
      <c r="F185" s="5"/>
      <c r="G185" s="6"/>
      <c r="H185" s="18"/>
      <c r="I185" s="19"/>
    </row>
    <row r="186" spans="3:10">
      <c r="D186" s="6"/>
      <c r="E186" s="6"/>
      <c r="F186" s="5"/>
      <c r="G186" s="6"/>
      <c r="H186" s="18"/>
      <c r="I186" s="19"/>
    </row>
    <row r="187" spans="3:10">
      <c r="D187" s="6"/>
      <c r="E187" s="6"/>
      <c r="F187" s="5"/>
      <c r="G187" s="6"/>
      <c r="H187" s="18"/>
      <c r="I187" s="19"/>
    </row>
    <row r="188" spans="3:10">
      <c r="D188" s="6"/>
      <c r="E188" s="6"/>
      <c r="F188" s="5"/>
      <c r="G188" s="6"/>
      <c r="H188" s="18"/>
      <c r="I188" s="19"/>
    </row>
    <row r="189" spans="3:10" ht="17.25">
      <c r="C189" s="116" t="s">
        <v>34</v>
      </c>
      <c r="D189" s="116"/>
      <c r="E189" s="116"/>
      <c r="F189" s="116"/>
      <c r="H189" s="116" t="s">
        <v>35</v>
      </c>
      <c r="I189" s="116"/>
      <c r="J189" s="116"/>
    </row>
    <row r="190" spans="3:10" ht="105">
      <c r="C190" s="15" t="s">
        <v>1</v>
      </c>
      <c r="D190" s="15" t="s">
        <v>2</v>
      </c>
      <c r="E190" s="15" t="s">
        <v>3</v>
      </c>
      <c r="F190" s="15" t="s">
        <v>36</v>
      </c>
      <c r="G190" s="22"/>
      <c r="H190" s="15" t="s">
        <v>10</v>
      </c>
      <c r="I190" s="15" t="s">
        <v>11</v>
      </c>
      <c r="J190" s="15" t="s">
        <v>37</v>
      </c>
    </row>
    <row r="191" spans="3:10" ht="15.75">
      <c r="C191" s="8">
        <v>0.01</v>
      </c>
      <c r="D191" s="8">
        <v>746.04</v>
      </c>
      <c r="E191" s="8">
        <v>0</v>
      </c>
      <c r="F191" s="10">
        <v>1.9199999999999998E-2</v>
      </c>
      <c r="G191" s="16"/>
      <c r="H191" s="7">
        <v>0.01</v>
      </c>
      <c r="I191" s="8">
        <v>1768.96</v>
      </c>
      <c r="J191" s="20">
        <v>407.02</v>
      </c>
    </row>
    <row r="192" spans="3:10" ht="15.75">
      <c r="C192" s="8">
        <v>746.05</v>
      </c>
      <c r="D192" s="8">
        <v>6332.05</v>
      </c>
      <c r="E192" s="8">
        <v>14.32</v>
      </c>
      <c r="F192" s="10">
        <v>6.4000000000000001E-2</v>
      </c>
      <c r="G192" s="16"/>
      <c r="H192" s="8">
        <v>1768.97</v>
      </c>
      <c r="I192" s="8">
        <v>2653.38</v>
      </c>
      <c r="J192" s="20">
        <v>406.83</v>
      </c>
    </row>
    <row r="193" spans="3:10" ht="15.75">
      <c r="C193" s="8">
        <v>6332.06</v>
      </c>
      <c r="D193" s="8">
        <v>11128.01</v>
      </c>
      <c r="E193" s="8">
        <v>371.83</v>
      </c>
      <c r="F193" s="10">
        <v>0.10880000000000001</v>
      </c>
      <c r="G193" s="16"/>
      <c r="H193" s="8">
        <v>2653.39</v>
      </c>
      <c r="I193" s="8">
        <v>3472.84</v>
      </c>
      <c r="J193" s="20">
        <v>406.62</v>
      </c>
    </row>
    <row r="194" spans="3:10" ht="15.75">
      <c r="C194" s="8">
        <v>11128.02</v>
      </c>
      <c r="D194" s="8">
        <v>12935.82</v>
      </c>
      <c r="E194" s="8">
        <v>893.63</v>
      </c>
      <c r="F194" s="10">
        <v>0.16</v>
      </c>
      <c r="G194" s="16"/>
      <c r="H194" s="8">
        <v>3472.85</v>
      </c>
      <c r="I194" s="8">
        <v>3537.87</v>
      </c>
      <c r="J194" s="20">
        <v>392.77</v>
      </c>
    </row>
    <row r="195" spans="3:10" ht="15.75">
      <c r="C195" s="8">
        <v>12935.83</v>
      </c>
      <c r="D195" s="8">
        <v>15487.71</v>
      </c>
      <c r="E195" s="8">
        <v>1182.8800000000001</v>
      </c>
      <c r="F195" s="10">
        <v>0.17920000000000003</v>
      </c>
      <c r="G195" s="16"/>
      <c r="H195" s="8">
        <v>3537.88</v>
      </c>
      <c r="I195" s="8">
        <v>4446.1499999999996</v>
      </c>
      <c r="J195" s="20">
        <v>382.46</v>
      </c>
    </row>
    <row r="196" spans="3:10" ht="15.75">
      <c r="C196" s="8">
        <v>15487.72</v>
      </c>
      <c r="D196" s="8">
        <v>31236.49</v>
      </c>
      <c r="E196" s="8">
        <v>1640.18</v>
      </c>
      <c r="F196" s="10">
        <v>0.21359999999999998</v>
      </c>
      <c r="G196" s="16"/>
      <c r="H196" s="8">
        <v>4446.16</v>
      </c>
      <c r="I196" s="8">
        <v>4717.18</v>
      </c>
      <c r="J196" s="20">
        <v>354.23</v>
      </c>
    </row>
    <row r="197" spans="3:10" ht="15.75">
      <c r="C197" s="8">
        <v>31236.5</v>
      </c>
      <c r="D197" s="8">
        <v>49233</v>
      </c>
      <c r="E197" s="8">
        <v>5004.12</v>
      </c>
      <c r="F197" s="10">
        <v>0.23519999999999999</v>
      </c>
      <c r="G197" s="16"/>
      <c r="H197" s="8">
        <v>4717.1899999999996</v>
      </c>
      <c r="I197" s="8">
        <v>5335.42</v>
      </c>
      <c r="J197" s="20">
        <v>324.87</v>
      </c>
    </row>
    <row r="198" spans="3:10" ht="15.75">
      <c r="C198" s="8">
        <v>49233.01</v>
      </c>
      <c r="D198" s="8">
        <v>93993.9</v>
      </c>
      <c r="E198" s="8">
        <v>9236.89</v>
      </c>
      <c r="F198" s="10">
        <v>0.3</v>
      </c>
      <c r="G198" s="16"/>
      <c r="H198" s="8">
        <v>5335.43</v>
      </c>
      <c r="I198" s="8">
        <v>6224.67</v>
      </c>
      <c r="J198" s="20">
        <v>294.63</v>
      </c>
    </row>
    <row r="199" spans="3:10" ht="15.75">
      <c r="C199" s="8">
        <v>93993.909999999989</v>
      </c>
      <c r="D199" s="8">
        <v>125325.2</v>
      </c>
      <c r="E199" s="8">
        <v>22665.17</v>
      </c>
      <c r="F199" s="10">
        <v>0.32</v>
      </c>
      <c r="G199" s="16"/>
      <c r="H199" s="8">
        <v>6224.68</v>
      </c>
      <c r="I199" s="8">
        <v>7113.9</v>
      </c>
      <c r="J199" s="20">
        <v>253.54</v>
      </c>
    </row>
    <row r="200" spans="3:10" ht="15.75">
      <c r="C200" s="8">
        <v>125325.20999999999</v>
      </c>
      <c r="D200" s="8">
        <v>375975.61</v>
      </c>
      <c r="E200" s="8">
        <v>32691.18</v>
      </c>
      <c r="F200" s="10">
        <v>0.34</v>
      </c>
      <c r="G200" s="16"/>
      <c r="H200" s="8">
        <v>7113.91</v>
      </c>
      <c r="I200" s="8">
        <v>7382.33</v>
      </c>
      <c r="J200" s="20">
        <v>217.61</v>
      </c>
    </row>
    <row r="201" spans="3:10" ht="15.75">
      <c r="C201" s="8">
        <v>375975.62</v>
      </c>
      <c r="D201" s="8" t="s">
        <v>5</v>
      </c>
      <c r="E201" s="8">
        <v>117912.32000000001</v>
      </c>
      <c r="F201" s="10">
        <v>0.35</v>
      </c>
      <c r="G201" s="16"/>
      <c r="H201" s="8">
        <v>7382.34</v>
      </c>
      <c r="I201" s="7" t="s">
        <v>5</v>
      </c>
      <c r="J201" s="21">
        <v>0</v>
      </c>
    </row>
    <row r="210" spans="3:10" ht="18">
      <c r="C210" s="117" t="s">
        <v>38</v>
      </c>
      <c r="D210" s="117"/>
      <c r="E210" s="117"/>
      <c r="F210" s="117"/>
      <c r="G210" s="117"/>
      <c r="H210" s="117"/>
      <c r="I210" s="117"/>
      <c r="J210" s="117"/>
    </row>
    <row r="211" spans="3:10" ht="75">
      <c r="D211" s="30" t="s">
        <v>14</v>
      </c>
      <c r="E211" s="30" t="s">
        <v>15</v>
      </c>
      <c r="F211" s="30" t="s">
        <v>2</v>
      </c>
      <c r="G211" s="30" t="s">
        <v>3</v>
      </c>
      <c r="H211" s="30" t="s">
        <v>39</v>
      </c>
      <c r="I211" s="30" t="s">
        <v>40</v>
      </c>
    </row>
    <row r="212" spans="3:10" ht="15.75">
      <c r="D212" s="8">
        <v>0.01</v>
      </c>
      <c r="E212" s="8">
        <v>0.01</v>
      </c>
      <c r="F212" s="8">
        <v>746.04</v>
      </c>
      <c r="G212" s="8">
        <v>0</v>
      </c>
      <c r="H212" s="10">
        <v>1.9199999999999998E-2</v>
      </c>
      <c r="I212" s="9">
        <v>407.02</v>
      </c>
    </row>
    <row r="213" spans="3:10" ht="15.75">
      <c r="D213" s="8">
        <v>746.05</v>
      </c>
      <c r="E213" s="8">
        <v>746.05</v>
      </c>
      <c r="F213" s="8">
        <v>1768.96</v>
      </c>
      <c r="G213" s="8">
        <v>14.32</v>
      </c>
      <c r="H213" s="10">
        <v>6.4000000000000001E-2</v>
      </c>
      <c r="I213" s="9">
        <v>407.02</v>
      </c>
    </row>
    <row r="214" spans="3:10" ht="15.75">
      <c r="D214" s="8">
        <v>746.05</v>
      </c>
      <c r="E214" s="8">
        <v>1768.97</v>
      </c>
      <c r="F214" s="8">
        <v>2653.38</v>
      </c>
      <c r="G214" s="8">
        <v>14.32</v>
      </c>
      <c r="H214" s="10">
        <v>6.4000000000000001E-2</v>
      </c>
      <c r="I214" s="9">
        <v>406.83</v>
      </c>
    </row>
    <row r="215" spans="3:10" ht="15.75">
      <c r="D215" s="8">
        <v>746.05</v>
      </c>
      <c r="E215" s="8">
        <v>2653.3900000000003</v>
      </c>
      <c r="F215" s="8">
        <v>3472.84</v>
      </c>
      <c r="G215" s="8">
        <v>14.32</v>
      </c>
      <c r="H215" s="10">
        <v>6.4000000000000001E-2</v>
      </c>
      <c r="I215" s="9">
        <v>406.62</v>
      </c>
    </row>
    <row r="216" spans="3:10" ht="15.75">
      <c r="D216" s="8">
        <v>746.05</v>
      </c>
      <c r="E216" s="8">
        <v>3472.8500000000004</v>
      </c>
      <c r="F216" s="8">
        <v>3537.87</v>
      </c>
      <c r="G216" s="8">
        <v>14.32</v>
      </c>
      <c r="H216" s="10">
        <v>6.4000000000000001E-2</v>
      </c>
      <c r="I216" s="9">
        <v>392.77</v>
      </c>
    </row>
    <row r="217" spans="3:10" ht="15.75">
      <c r="D217" s="8">
        <v>746.05</v>
      </c>
      <c r="E217" s="8">
        <v>3537.88</v>
      </c>
      <c r="F217" s="8">
        <v>4446.1499999999996</v>
      </c>
      <c r="G217" s="8">
        <v>14.32</v>
      </c>
      <c r="H217" s="10">
        <v>6.4000000000000001E-2</v>
      </c>
      <c r="I217" s="9">
        <v>382.46</v>
      </c>
    </row>
    <row r="218" spans="3:10" ht="15.75">
      <c r="D218" s="8">
        <v>746.05</v>
      </c>
      <c r="E218" s="8">
        <v>4446.16</v>
      </c>
      <c r="F218" s="8">
        <v>4717.18</v>
      </c>
      <c r="G218" s="8">
        <v>14.32</v>
      </c>
      <c r="H218" s="10">
        <v>6.4000000000000001E-2</v>
      </c>
      <c r="I218" s="9">
        <v>354.23</v>
      </c>
    </row>
    <row r="219" spans="3:10" ht="15.75">
      <c r="D219" s="8">
        <v>746.05</v>
      </c>
      <c r="E219" s="8">
        <v>4717.1900000000005</v>
      </c>
      <c r="F219" s="8">
        <v>5335.42</v>
      </c>
      <c r="G219" s="8">
        <v>14.32</v>
      </c>
      <c r="H219" s="10">
        <v>6.4000000000000001E-2</v>
      </c>
      <c r="I219" s="9">
        <v>324.87</v>
      </c>
    </row>
    <row r="220" spans="3:10" ht="15.75">
      <c r="D220" s="8">
        <v>746.05</v>
      </c>
      <c r="E220" s="8">
        <v>5335.43</v>
      </c>
      <c r="F220" s="8">
        <v>6224.67</v>
      </c>
      <c r="G220" s="8">
        <v>14.32</v>
      </c>
      <c r="H220" s="10">
        <v>6.4000000000000001E-2</v>
      </c>
      <c r="I220" s="9">
        <v>294.63</v>
      </c>
    </row>
    <row r="221" spans="3:10" ht="15.75">
      <c r="D221" s="8">
        <v>746.05</v>
      </c>
      <c r="E221" s="8">
        <v>6224.68</v>
      </c>
      <c r="F221" s="8">
        <v>6332.05</v>
      </c>
      <c r="G221" s="8">
        <v>14.32</v>
      </c>
      <c r="H221" s="10">
        <v>0.10880000000000001</v>
      </c>
      <c r="I221" s="9">
        <v>294.63</v>
      </c>
    </row>
    <row r="222" spans="3:10" ht="15.75">
      <c r="D222" s="8">
        <v>6332.06</v>
      </c>
      <c r="E222" s="8">
        <v>6332.06</v>
      </c>
      <c r="F222" s="8">
        <v>7113.9</v>
      </c>
      <c r="G222" s="8">
        <v>371.83</v>
      </c>
      <c r="H222" s="10">
        <v>0.10880000000000001</v>
      </c>
      <c r="I222" s="9">
        <v>253.54</v>
      </c>
    </row>
    <row r="223" spans="3:10" ht="15.75">
      <c r="D223" s="8">
        <v>6332.06</v>
      </c>
      <c r="E223" s="8">
        <v>7113.91</v>
      </c>
      <c r="F223" s="8">
        <v>7382.33</v>
      </c>
      <c r="G223" s="8">
        <v>371.83</v>
      </c>
      <c r="H223" s="10">
        <v>0.10880000000000001</v>
      </c>
      <c r="I223" s="9">
        <v>217.61</v>
      </c>
    </row>
    <row r="224" spans="3:10" ht="15.75">
      <c r="D224" s="8">
        <v>6332.06</v>
      </c>
      <c r="E224" s="8">
        <v>7382.34</v>
      </c>
      <c r="F224" s="8">
        <v>11128.01</v>
      </c>
      <c r="G224" s="8">
        <v>371.83</v>
      </c>
      <c r="H224" s="10">
        <v>0.10880000000000001</v>
      </c>
      <c r="I224" s="9">
        <v>0</v>
      </c>
    </row>
    <row r="225" spans="4:9" ht="15.75">
      <c r="D225" s="8">
        <v>11128.02</v>
      </c>
      <c r="E225" s="8">
        <v>11128.02</v>
      </c>
      <c r="F225" s="8">
        <v>12935.82</v>
      </c>
      <c r="G225" s="8">
        <v>893.63</v>
      </c>
      <c r="H225" s="10">
        <v>0.16</v>
      </c>
      <c r="I225" s="9">
        <v>0</v>
      </c>
    </row>
    <row r="226" spans="4:9" ht="15.75">
      <c r="D226" s="8">
        <v>12935.83</v>
      </c>
      <c r="E226" s="8">
        <v>12935.83</v>
      </c>
      <c r="F226" s="8">
        <v>15487.71</v>
      </c>
      <c r="G226" s="8">
        <v>1182.8800000000001</v>
      </c>
      <c r="H226" s="10">
        <v>0.17920000000000003</v>
      </c>
      <c r="I226" s="9">
        <v>0</v>
      </c>
    </row>
    <row r="227" spans="4:9" ht="15.75">
      <c r="D227" s="8">
        <v>15487.72</v>
      </c>
      <c r="E227" s="8">
        <v>15487.72</v>
      </c>
      <c r="F227" s="8">
        <v>31236.49</v>
      </c>
      <c r="G227" s="8">
        <v>1640.18</v>
      </c>
      <c r="H227" s="10">
        <v>0.21359999999999998</v>
      </c>
      <c r="I227" s="9">
        <v>0</v>
      </c>
    </row>
    <row r="228" spans="4:9" ht="15.75">
      <c r="D228" s="8">
        <v>31236.5</v>
      </c>
      <c r="E228" s="8">
        <v>31236.5</v>
      </c>
      <c r="F228" s="8">
        <v>49233</v>
      </c>
      <c r="G228" s="8">
        <v>5004.12</v>
      </c>
      <c r="H228" s="10">
        <v>0.23519999999999999</v>
      </c>
      <c r="I228" s="9">
        <v>0</v>
      </c>
    </row>
    <row r="229" spans="4:9" ht="15.75">
      <c r="D229" s="8">
        <v>49233.01</v>
      </c>
      <c r="E229" s="8">
        <v>49233.01</v>
      </c>
      <c r="F229" s="8">
        <v>93993.9</v>
      </c>
      <c r="G229" s="8">
        <v>9236.89</v>
      </c>
      <c r="H229" s="10">
        <v>0.3</v>
      </c>
      <c r="I229" s="9">
        <v>0</v>
      </c>
    </row>
    <row r="230" spans="4:9" ht="15.75">
      <c r="D230" s="8">
        <v>93993.91</v>
      </c>
      <c r="E230" s="8">
        <v>93993.909999999989</v>
      </c>
      <c r="F230" s="8">
        <v>125325.2</v>
      </c>
      <c r="G230" s="8">
        <v>22665.17</v>
      </c>
      <c r="H230" s="10">
        <v>0.32</v>
      </c>
      <c r="I230" s="9">
        <v>0</v>
      </c>
    </row>
    <row r="231" spans="4:9" ht="15.75">
      <c r="D231" s="8">
        <v>125325.21</v>
      </c>
      <c r="E231" s="8">
        <v>125325.20999999999</v>
      </c>
      <c r="F231" s="8">
        <v>375975.61</v>
      </c>
      <c r="G231" s="8">
        <v>32691.18</v>
      </c>
      <c r="H231" s="10">
        <v>0.34</v>
      </c>
      <c r="I231" s="9">
        <v>0</v>
      </c>
    </row>
    <row r="232" spans="4:9" ht="15.75">
      <c r="D232" s="8">
        <v>375975.62</v>
      </c>
      <c r="E232" s="8">
        <v>375975.62</v>
      </c>
      <c r="F232" s="8" t="s">
        <v>5</v>
      </c>
      <c r="G232" s="8">
        <v>117912.32000000001</v>
      </c>
      <c r="H232" s="10">
        <v>0.35</v>
      </c>
      <c r="I232" s="9">
        <v>0</v>
      </c>
    </row>
  </sheetData>
  <mergeCells count="16">
    <mergeCell ref="C2:J2"/>
    <mergeCell ref="C4:F4"/>
    <mergeCell ref="H4:J4"/>
    <mergeCell ref="C22:J25"/>
    <mergeCell ref="C160:J160"/>
    <mergeCell ref="C189:F189"/>
    <mergeCell ref="H189:J189"/>
    <mergeCell ref="C210:J210"/>
    <mergeCell ref="C49:F49"/>
    <mergeCell ref="H49:J49"/>
    <mergeCell ref="C99:F99"/>
    <mergeCell ref="H99:J99"/>
    <mergeCell ref="C120:J120"/>
    <mergeCell ref="C66:J70"/>
    <mergeCell ref="C144:F144"/>
    <mergeCell ref="H144:J144"/>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04"/>
  <sheetViews>
    <sheetView showGridLines="0" workbookViewId="0">
      <selection activeCell="M5" sqref="M5"/>
    </sheetView>
  </sheetViews>
  <sheetFormatPr baseColWidth="10" defaultRowHeight="15"/>
  <cols>
    <col min="3" max="4" width="12.7109375" bestFit="1" customWidth="1"/>
    <col min="9" max="9" width="13.140625" bestFit="1" customWidth="1"/>
  </cols>
  <sheetData>
    <row r="3" spans="2:10" ht="15" customHeight="1"/>
    <row r="4" spans="2:10" ht="23.25">
      <c r="B4" s="115" t="s">
        <v>41</v>
      </c>
      <c r="C4" s="115"/>
      <c r="D4" s="115"/>
      <c r="E4" s="115"/>
      <c r="F4" s="115"/>
      <c r="G4" s="115"/>
      <c r="H4" s="115"/>
      <c r="I4" s="115"/>
      <c r="J4" s="115"/>
    </row>
    <row r="6" spans="2:10" ht="17.25">
      <c r="B6" s="116" t="s">
        <v>42</v>
      </c>
      <c r="C6" s="116"/>
      <c r="D6" s="116"/>
      <c r="E6" s="116"/>
      <c r="G6" s="116" t="s">
        <v>43</v>
      </c>
      <c r="H6" s="116"/>
      <c r="I6" s="116"/>
      <c r="J6" s="116"/>
    </row>
    <row r="7" spans="2:10" ht="105">
      <c r="B7" s="15" t="s">
        <v>1</v>
      </c>
      <c r="C7" s="15" t="s">
        <v>2</v>
      </c>
      <c r="D7" s="15" t="s">
        <v>3</v>
      </c>
      <c r="E7" s="15" t="s">
        <v>4</v>
      </c>
      <c r="F7" s="22"/>
      <c r="G7" s="15" t="s">
        <v>1</v>
      </c>
      <c r="H7" s="15" t="s">
        <v>2</v>
      </c>
      <c r="I7" s="15" t="s">
        <v>3</v>
      </c>
      <c r="J7" s="15" t="s">
        <v>4</v>
      </c>
    </row>
    <row r="8" spans="2:10">
      <c r="B8" s="31">
        <v>0.01</v>
      </c>
      <c r="C8" s="5">
        <v>764.04</v>
      </c>
      <c r="D8" s="19">
        <v>0</v>
      </c>
      <c r="E8" s="18">
        <v>1.9199999999999998E-2</v>
      </c>
      <c r="F8" s="22"/>
      <c r="G8" s="5">
        <v>0.01</v>
      </c>
      <c r="H8" s="6">
        <v>1492.08</v>
      </c>
      <c r="I8" s="6">
        <v>0</v>
      </c>
      <c r="J8" s="18">
        <v>1.9199999999999998E-2</v>
      </c>
    </row>
    <row r="9" spans="2:10">
      <c r="B9" s="31">
        <v>764.05</v>
      </c>
      <c r="C9" s="6">
        <v>6332.05</v>
      </c>
      <c r="D9" s="5">
        <v>14.32</v>
      </c>
      <c r="E9" s="18">
        <v>6.4000000000000001E-2</v>
      </c>
      <c r="F9" s="22"/>
      <c r="G9" s="6">
        <v>1492.09</v>
      </c>
      <c r="H9" s="6">
        <v>12664.1</v>
      </c>
      <c r="I9" s="6">
        <v>28.64</v>
      </c>
      <c r="J9" s="18">
        <v>6.4000000000000001E-2</v>
      </c>
    </row>
    <row r="10" spans="2:10">
      <c r="B10" s="31">
        <v>6332.06</v>
      </c>
      <c r="C10" s="6">
        <v>11128.01</v>
      </c>
      <c r="D10" s="5">
        <v>371.83</v>
      </c>
      <c r="E10" s="18">
        <v>0.10880000000000001</v>
      </c>
      <c r="F10" s="22"/>
      <c r="G10" s="6">
        <v>12664.11</v>
      </c>
      <c r="H10" s="6">
        <v>22256.02</v>
      </c>
      <c r="I10" s="6">
        <v>743.66</v>
      </c>
      <c r="J10" s="18">
        <v>0.10880000000000001</v>
      </c>
    </row>
    <row r="11" spans="2:10">
      <c r="B11" s="31">
        <v>11128.02</v>
      </c>
      <c r="C11" s="6">
        <v>12935.82</v>
      </c>
      <c r="D11" s="5">
        <v>893.63</v>
      </c>
      <c r="E11" s="18">
        <v>0.16</v>
      </c>
      <c r="F11" s="22"/>
      <c r="G11" s="6">
        <v>22256.03</v>
      </c>
      <c r="H11" s="6">
        <v>25871.64</v>
      </c>
      <c r="I11" s="6">
        <v>1787.26</v>
      </c>
      <c r="J11" s="18">
        <v>0.16</v>
      </c>
    </row>
    <row r="12" spans="2:10">
      <c r="B12" s="31">
        <v>12935.83</v>
      </c>
      <c r="C12" s="6">
        <v>15487.71</v>
      </c>
      <c r="D12" s="5">
        <v>1182.8800000000001</v>
      </c>
      <c r="E12" s="18">
        <v>0.17920000000000003</v>
      </c>
      <c r="F12" s="22"/>
      <c r="G12" s="6">
        <v>25871.649999999998</v>
      </c>
      <c r="H12" s="6">
        <v>30975.42</v>
      </c>
      <c r="I12" s="6">
        <v>2365.7600000000002</v>
      </c>
      <c r="J12" s="18">
        <v>0.17920000000000003</v>
      </c>
    </row>
    <row r="13" spans="2:10">
      <c r="B13" s="31">
        <v>15487.72</v>
      </c>
      <c r="C13" s="6">
        <v>31236.49</v>
      </c>
      <c r="D13" s="6">
        <v>1640.18</v>
      </c>
      <c r="E13" s="18">
        <v>0.21359999999999998</v>
      </c>
      <c r="F13" s="22"/>
      <c r="G13" s="6">
        <v>30975.429999999997</v>
      </c>
      <c r="H13" s="6">
        <v>62472.98</v>
      </c>
      <c r="I13" s="6">
        <v>3280.36</v>
      </c>
      <c r="J13" s="18">
        <v>0.21359999999999998</v>
      </c>
    </row>
    <row r="14" spans="2:10">
      <c r="B14" s="31">
        <v>31236.5</v>
      </c>
      <c r="C14" s="6">
        <v>49233</v>
      </c>
      <c r="D14" s="6">
        <v>5004.12</v>
      </c>
      <c r="E14" s="18">
        <v>0.23519999999999999</v>
      </c>
      <c r="F14" s="22"/>
      <c r="G14" s="6">
        <v>62472.990000000005</v>
      </c>
      <c r="H14" s="6">
        <v>98466</v>
      </c>
      <c r="I14" s="6">
        <v>10008.24</v>
      </c>
      <c r="J14" s="18">
        <v>0.23519999999999999</v>
      </c>
    </row>
    <row r="15" spans="2:10">
      <c r="B15" s="31">
        <v>49233.01</v>
      </c>
      <c r="C15" s="6">
        <v>93993.9</v>
      </c>
      <c r="D15" s="6">
        <v>9236.89</v>
      </c>
      <c r="E15" s="18">
        <v>0.3</v>
      </c>
      <c r="F15" s="22"/>
      <c r="G15" s="6">
        <v>98466.01</v>
      </c>
      <c r="H15" s="6">
        <v>187987.8</v>
      </c>
      <c r="I15" s="6">
        <v>18473.78</v>
      </c>
      <c r="J15" s="18">
        <v>0.3</v>
      </c>
    </row>
    <row r="16" spans="2:10">
      <c r="B16" s="31">
        <v>93993.909999999989</v>
      </c>
      <c r="C16" s="6">
        <v>125325.2</v>
      </c>
      <c r="D16" s="6">
        <v>22665.17</v>
      </c>
      <c r="E16" s="18">
        <v>0.32</v>
      </c>
      <c r="F16" s="22"/>
      <c r="G16" s="6">
        <v>187987.81</v>
      </c>
      <c r="H16" s="6">
        <v>250650.4</v>
      </c>
      <c r="I16" s="6">
        <v>45330.34</v>
      </c>
      <c r="J16" s="18">
        <v>0.32</v>
      </c>
    </row>
    <row r="17" spans="2:10">
      <c r="B17" s="31">
        <v>125325.20999999999</v>
      </c>
      <c r="C17" s="6">
        <v>375975.61</v>
      </c>
      <c r="D17" s="6">
        <v>32691.18</v>
      </c>
      <c r="E17" s="18">
        <v>0.34</v>
      </c>
      <c r="F17" s="22"/>
      <c r="G17" s="6">
        <v>250650.41</v>
      </c>
      <c r="H17" s="6">
        <v>751951.22</v>
      </c>
      <c r="I17" s="6">
        <v>65382.36</v>
      </c>
      <c r="J17" s="18">
        <v>0.34</v>
      </c>
    </row>
    <row r="18" spans="2:10">
      <c r="B18" s="31">
        <v>375975.62</v>
      </c>
      <c r="C18" s="5" t="s">
        <v>5</v>
      </c>
      <c r="D18" s="6">
        <v>117912.32000000001</v>
      </c>
      <c r="E18" s="18">
        <v>0.35</v>
      </c>
      <c r="F18" s="22"/>
      <c r="G18" s="6">
        <v>751951.23</v>
      </c>
      <c r="H18" s="5" t="s">
        <v>5</v>
      </c>
      <c r="I18" s="6">
        <v>235824.64000000001</v>
      </c>
      <c r="J18" s="18">
        <v>0.35</v>
      </c>
    </row>
    <row r="19" spans="2:10">
      <c r="F19" s="22"/>
    </row>
    <row r="20" spans="2:10">
      <c r="F20" s="22"/>
    </row>
    <row r="21" spans="2:10">
      <c r="F21" s="22"/>
    </row>
    <row r="22" spans="2:10">
      <c r="F22" s="22"/>
    </row>
    <row r="23" spans="2:10">
      <c r="F23" s="22"/>
    </row>
    <row r="24" spans="2:10" ht="17.25">
      <c r="B24" s="116" t="s">
        <v>44</v>
      </c>
      <c r="C24" s="116"/>
      <c r="D24" s="116"/>
      <c r="E24" s="116"/>
      <c r="F24" s="22"/>
      <c r="G24" s="116" t="s">
        <v>45</v>
      </c>
      <c r="H24" s="116"/>
      <c r="I24" s="116"/>
      <c r="J24" s="116"/>
    </row>
    <row r="25" spans="2:10" ht="105">
      <c r="B25" s="15" t="s">
        <v>1</v>
      </c>
      <c r="C25" s="15" t="s">
        <v>2</v>
      </c>
      <c r="D25" s="15" t="s">
        <v>3</v>
      </c>
      <c r="E25" s="15" t="s">
        <v>4</v>
      </c>
      <c r="F25" s="22"/>
      <c r="G25" s="15" t="s">
        <v>1</v>
      </c>
      <c r="H25" s="15" t="s">
        <v>2</v>
      </c>
      <c r="I25" s="15" t="s">
        <v>3</v>
      </c>
      <c r="J25" s="15" t="s">
        <v>4</v>
      </c>
    </row>
    <row r="26" spans="2:10">
      <c r="B26" s="5">
        <v>0.01</v>
      </c>
      <c r="C26" s="6">
        <v>2238.12</v>
      </c>
      <c r="D26" s="19">
        <v>0</v>
      </c>
      <c r="E26" s="18">
        <v>1.9199999999999998E-2</v>
      </c>
      <c r="F26" s="22"/>
      <c r="G26" s="5">
        <v>0.01</v>
      </c>
      <c r="H26" s="6">
        <v>2984.16</v>
      </c>
      <c r="I26" s="19">
        <v>0</v>
      </c>
      <c r="J26" s="18">
        <v>1.9199999999999998E-2</v>
      </c>
    </row>
    <row r="27" spans="2:10">
      <c r="B27" s="6">
        <v>2238.13</v>
      </c>
      <c r="C27" s="6">
        <v>18996.150000000001</v>
      </c>
      <c r="D27" s="6">
        <v>42.96</v>
      </c>
      <c r="E27" s="18">
        <v>6.4000000000000001E-2</v>
      </c>
      <c r="F27" s="22"/>
      <c r="G27" s="6">
        <v>2984.17</v>
      </c>
      <c r="H27" s="6">
        <v>25328.2</v>
      </c>
      <c r="I27" s="6">
        <v>57.28</v>
      </c>
      <c r="J27" s="18">
        <v>6.4000000000000001E-2</v>
      </c>
    </row>
    <row r="28" spans="2:10">
      <c r="B28" s="6">
        <v>18996.16</v>
      </c>
      <c r="C28" s="6">
        <v>33384.03</v>
      </c>
      <c r="D28" s="6">
        <v>1115.49</v>
      </c>
      <c r="E28" s="18">
        <v>0.10880000000000001</v>
      </c>
      <c r="F28" s="22"/>
      <c r="G28" s="6">
        <v>25328.21</v>
      </c>
      <c r="H28" s="6">
        <v>44512.04</v>
      </c>
      <c r="I28" s="6">
        <v>1487.32</v>
      </c>
      <c r="J28" s="18">
        <v>0.10880000000000001</v>
      </c>
    </row>
    <row r="29" spans="2:10">
      <c r="B29" s="6">
        <v>33384.04</v>
      </c>
      <c r="C29" s="6">
        <v>38807.46</v>
      </c>
      <c r="D29" s="6">
        <v>2680.89</v>
      </c>
      <c r="E29" s="18">
        <v>0.16</v>
      </c>
      <c r="F29" s="22"/>
      <c r="G29" s="6">
        <v>44512.05</v>
      </c>
      <c r="H29" s="6">
        <v>51743.28</v>
      </c>
      <c r="I29" s="6">
        <v>3574.52</v>
      </c>
      <c r="J29" s="18">
        <v>0.16</v>
      </c>
    </row>
    <row r="30" spans="2:10">
      <c r="B30" s="6">
        <v>38807.47</v>
      </c>
      <c r="C30" s="6">
        <v>46463.13</v>
      </c>
      <c r="D30" s="6">
        <v>3548.6400000000003</v>
      </c>
      <c r="E30" s="18">
        <v>0.17920000000000003</v>
      </c>
      <c r="F30" s="22"/>
      <c r="G30" s="6">
        <v>51743.29</v>
      </c>
      <c r="H30" s="6">
        <v>61950.84</v>
      </c>
      <c r="I30" s="6">
        <v>4731.5200000000004</v>
      </c>
      <c r="J30" s="18">
        <v>0.17920000000000003</v>
      </c>
    </row>
    <row r="31" spans="2:10">
      <c r="B31" s="6">
        <v>46463.14</v>
      </c>
      <c r="C31" s="6">
        <v>93709.47</v>
      </c>
      <c r="D31" s="6">
        <v>4920.54</v>
      </c>
      <c r="E31" s="18">
        <v>0.21359999999999998</v>
      </c>
      <c r="F31" s="22"/>
      <c r="G31" s="6">
        <v>61950.85</v>
      </c>
      <c r="H31" s="6">
        <v>124945.96</v>
      </c>
      <c r="I31" s="6">
        <v>6560.72</v>
      </c>
      <c r="J31" s="18">
        <v>0.21359999999999998</v>
      </c>
    </row>
    <row r="32" spans="2:10">
      <c r="B32" s="6">
        <v>93709.48</v>
      </c>
      <c r="C32" s="6">
        <v>147699</v>
      </c>
      <c r="D32" s="6">
        <v>15012.36</v>
      </c>
      <c r="E32" s="18">
        <v>0.23519999999999999</v>
      </c>
      <c r="F32" s="22"/>
      <c r="G32" s="6">
        <v>124945.97</v>
      </c>
      <c r="H32" s="6">
        <v>196932</v>
      </c>
      <c r="I32" s="6">
        <v>20016.48</v>
      </c>
      <c r="J32" s="18">
        <v>0.23519999999999999</v>
      </c>
    </row>
    <row r="33" spans="2:10">
      <c r="B33" s="6">
        <v>147699.01</v>
      </c>
      <c r="C33" s="6">
        <v>281981.69999999995</v>
      </c>
      <c r="D33" s="6">
        <v>27710.67</v>
      </c>
      <c r="E33" s="18">
        <v>0.3</v>
      </c>
      <c r="F33" s="22"/>
      <c r="G33" s="6">
        <v>196932.01</v>
      </c>
      <c r="H33" s="6">
        <v>375975.6</v>
      </c>
      <c r="I33" s="6">
        <v>36947.56</v>
      </c>
      <c r="J33" s="18">
        <v>0.3</v>
      </c>
    </row>
    <row r="34" spans="2:10">
      <c r="B34" s="6">
        <v>281981.70999999996</v>
      </c>
      <c r="C34" s="6">
        <v>375975.6</v>
      </c>
      <c r="D34" s="6">
        <v>67995.509999999995</v>
      </c>
      <c r="E34" s="18">
        <v>0.32</v>
      </c>
      <c r="F34" s="22"/>
      <c r="G34" s="6">
        <v>375975.61</v>
      </c>
      <c r="H34" s="6">
        <v>501300.8</v>
      </c>
      <c r="I34" s="6">
        <v>90660.68</v>
      </c>
      <c r="J34" s="18">
        <v>0.32</v>
      </c>
    </row>
    <row r="35" spans="2:10">
      <c r="B35" s="6">
        <v>375975.61</v>
      </c>
      <c r="C35" s="6">
        <v>1127926.83</v>
      </c>
      <c r="D35" s="6">
        <v>98073.540000000008</v>
      </c>
      <c r="E35" s="18">
        <v>0.34</v>
      </c>
      <c r="F35" s="22"/>
      <c r="G35" s="6">
        <v>501300.81</v>
      </c>
      <c r="H35" s="6">
        <v>1503902.44</v>
      </c>
      <c r="I35" s="6">
        <v>130764.72</v>
      </c>
      <c r="J35" s="18">
        <v>0.34</v>
      </c>
    </row>
    <row r="36" spans="2:10">
      <c r="B36" s="6">
        <v>1127926.8400000001</v>
      </c>
      <c r="C36" s="5" t="s">
        <v>5</v>
      </c>
      <c r="D36" s="6">
        <v>353736.96000000002</v>
      </c>
      <c r="E36" s="18">
        <v>0.35</v>
      </c>
      <c r="F36" s="22"/>
      <c r="G36" s="6">
        <v>1503902.45</v>
      </c>
      <c r="H36" s="5" t="s">
        <v>5</v>
      </c>
      <c r="I36" s="6">
        <v>471649.28000000003</v>
      </c>
      <c r="J36" s="18">
        <v>0.35</v>
      </c>
    </row>
    <row r="37" spans="2:10">
      <c r="F37" s="22"/>
    </row>
    <row r="38" spans="2:10">
      <c r="F38" s="22"/>
    </row>
    <row r="39" spans="2:10">
      <c r="F39" s="22"/>
    </row>
    <row r="40" spans="2:10">
      <c r="F40" s="22"/>
    </row>
    <row r="41" spans="2:10">
      <c r="F41" s="22"/>
    </row>
    <row r="42" spans="2:10" ht="17.25">
      <c r="B42" s="116" t="s">
        <v>46</v>
      </c>
      <c r="C42" s="116"/>
      <c r="D42" s="116"/>
      <c r="E42" s="116"/>
      <c r="F42" s="22"/>
      <c r="G42" s="116" t="s">
        <v>47</v>
      </c>
      <c r="H42" s="116"/>
      <c r="I42" s="116"/>
      <c r="J42" s="116"/>
    </row>
    <row r="43" spans="2:10" ht="105">
      <c r="B43" s="15" t="s">
        <v>1</v>
      </c>
      <c r="C43" s="15" t="s">
        <v>2</v>
      </c>
      <c r="D43" s="15" t="s">
        <v>3</v>
      </c>
      <c r="E43" s="15" t="s">
        <v>4</v>
      </c>
      <c r="F43" s="22"/>
      <c r="G43" s="15" t="s">
        <v>1</v>
      </c>
      <c r="H43" s="15" t="s">
        <v>2</v>
      </c>
      <c r="I43" s="15" t="s">
        <v>3</v>
      </c>
      <c r="J43" s="15" t="s">
        <v>4</v>
      </c>
    </row>
    <row r="44" spans="2:10">
      <c r="B44" s="6">
        <v>0.01</v>
      </c>
      <c r="C44" s="6">
        <v>3730.2</v>
      </c>
      <c r="D44" s="6">
        <v>0</v>
      </c>
      <c r="E44" s="18">
        <v>1.9199999999999998E-2</v>
      </c>
      <c r="F44" s="22"/>
      <c r="G44" s="5">
        <v>0.01</v>
      </c>
      <c r="H44" s="6">
        <v>4476.24</v>
      </c>
      <c r="I44" s="19">
        <v>0</v>
      </c>
      <c r="J44" s="18">
        <v>1.9199999999999998E-2</v>
      </c>
    </row>
    <row r="45" spans="2:10">
      <c r="B45" s="6">
        <v>3730.21</v>
      </c>
      <c r="C45" s="6">
        <v>31660.25</v>
      </c>
      <c r="D45" s="6">
        <v>71.599999999999994</v>
      </c>
      <c r="E45" s="18">
        <v>6.4000000000000001E-2</v>
      </c>
      <c r="F45" s="22"/>
      <c r="G45" s="6">
        <v>4476.25</v>
      </c>
      <c r="H45" s="6">
        <v>37992.300000000003</v>
      </c>
      <c r="I45" s="6">
        <v>85.92</v>
      </c>
      <c r="J45" s="18">
        <v>6.4000000000000001E-2</v>
      </c>
    </row>
    <row r="46" spans="2:10">
      <c r="B46" s="6">
        <v>31660.26</v>
      </c>
      <c r="C46" s="6">
        <v>55640.05</v>
      </c>
      <c r="D46" s="6">
        <v>1859.1499999999999</v>
      </c>
      <c r="E46" s="18">
        <v>0.10880000000000001</v>
      </c>
      <c r="F46" s="22"/>
      <c r="G46" s="6">
        <v>37992.310000000005</v>
      </c>
      <c r="H46" s="6">
        <v>66768.06</v>
      </c>
      <c r="I46" s="6">
        <v>2230.98</v>
      </c>
      <c r="J46" s="18">
        <v>0.10880000000000001</v>
      </c>
    </row>
    <row r="47" spans="2:10">
      <c r="B47" s="6">
        <v>55640.060000000005</v>
      </c>
      <c r="C47" s="6">
        <v>64679.1</v>
      </c>
      <c r="D47" s="6">
        <v>4468.1499999999996</v>
      </c>
      <c r="E47" s="18">
        <v>0.16</v>
      </c>
      <c r="F47" s="22"/>
      <c r="G47" s="6">
        <v>66768.069999999992</v>
      </c>
      <c r="H47" s="6">
        <v>77614.92</v>
      </c>
      <c r="I47" s="6">
        <v>5361.78</v>
      </c>
      <c r="J47" s="18">
        <v>0.16</v>
      </c>
    </row>
    <row r="48" spans="2:10">
      <c r="B48" s="6">
        <v>64679.11</v>
      </c>
      <c r="C48" s="6">
        <v>77438.549999999988</v>
      </c>
      <c r="D48" s="6">
        <v>5914.4000000000005</v>
      </c>
      <c r="E48" s="18">
        <v>0.17920000000000003</v>
      </c>
      <c r="F48" s="22"/>
      <c r="G48" s="6">
        <v>77614.929999999993</v>
      </c>
      <c r="H48" s="6">
        <v>92926.26</v>
      </c>
      <c r="I48" s="6">
        <v>7097.2800000000007</v>
      </c>
      <c r="J48" s="18">
        <v>0.17920000000000003</v>
      </c>
    </row>
    <row r="49" spans="2:10">
      <c r="B49" s="6">
        <v>77438.559999999983</v>
      </c>
      <c r="C49" s="6">
        <v>156182.45000000001</v>
      </c>
      <c r="D49" s="6">
        <v>8200.9</v>
      </c>
      <c r="E49" s="18">
        <v>0.21359999999999998</v>
      </c>
      <c r="F49" s="22"/>
      <c r="G49" s="6">
        <v>92926.26999999999</v>
      </c>
      <c r="H49" s="6">
        <v>187418.94</v>
      </c>
      <c r="I49" s="6">
        <v>9841.08</v>
      </c>
      <c r="J49" s="18">
        <v>0.21359999999999998</v>
      </c>
    </row>
    <row r="50" spans="2:10">
      <c r="B50" s="6">
        <v>156182.46000000002</v>
      </c>
      <c r="C50" s="6">
        <v>246165</v>
      </c>
      <c r="D50" s="6">
        <v>25020.6</v>
      </c>
      <c r="E50" s="18">
        <v>0.23519999999999999</v>
      </c>
      <c r="F50" s="22"/>
      <c r="G50" s="6">
        <v>187418.95</v>
      </c>
      <c r="H50" s="6">
        <v>295398</v>
      </c>
      <c r="I50" s="6">
        <v>30024.720000000001</v>
      </c>
      <c r="J50" s="18">
        <v>0.23519999999999999</v>
      </c>
    </row>
    <row r="51" spans="2:10">
      <c r="B51" s="6">
        <v>246165.01</v>
      </c>
      <c r="C51" s="6">
        <v>469969.5</v>
      </c>
      <c r="D51" s="6">
        <v>46184.45</v>
      </c>
      <c r="E51" s="18">
        <v>0.3</v>
      </c>
      <c r="F51" s="22"/>
      <c r="G51" s="6">
        <v>295398.01</v>
      </c>
      <c r="H51" s="6">
        <v>563963.39999999991</v>
      </c>
      <c r="I51" s="6">
        <v>55421.34</v>
      </c>
      <c r="J51" s="18">
        <v>0.3</v>
      </c>
    </row>
    <row r="52" spans="2:10">
      <c r="B52" s="6">
        <v>469969.51</v>
      </c>
      <c r="C52" s="6">
        <v>626626</v>
      </c>
      <c r="D52" s="6">
        <v>113325.84999999999</v>
      </c>
      <c r="E52" s="18">
        <v>0.32</v>
      </c>
      <c r="F52" s="22"/>
      <c r="G52" s="6">
        <v>563963.40999999992</v>
      </c>
      <c r="H52" s="6">
        <v>751951.2</v>
      </c>
      <c r="I52" s="6">
        <v>135991.01999999999</v>
      </c>
      <c r="J52" s="18">
        <v>0.32</v>
      </c>
    </row>
    <row r="53" spans="2:10">
      <c r="B53" s="6">
        <v>626626.01</v>
      </c>
      <c r="C53" s="6">
        <v>1879878.0499999998</v>
      </c>
      <c r="D53" s="6">
        <v>163455.9</v>
      </c>
      <c r="E53" s="18">
        <v>0.34</v>
      </c>
      <c r="F53" s="22"/>
      <c r="G53" s="6">
        <v>751951.21</v>
      </c>
      <c r="H53" s="6">
        <v>2255853.66</v>
      </c>
      <c r="I53" s="6">
        <v>196147.08000000002</v>
      </c>
      <c r="J53" s="18">
        <v>0.34</v>
      </c>
    </row>
    <row r="54" spans="2:10">
      <c r="B54" s="6">
        <v>1879878.0599999998</v>
      </c>
      <c r="C54" s="6" t="s">
        <v>5</v>
      </c>
      <c r="D54" s="6">
        <v>589561.60000000009</v>
      </c>
      <c r="E54" s="18">
        <v>0.35</v>
      </c>
      <c r="F54" s="22"/>
      <c r="G54" s="6">
        <v>2255853.67</v>
      </c>
      <c r="H54" s="6" t="s">
        <v>5</v>
      </c>
      <c r="I54" s="6">
        <v>707473.92000000004</v>
      </c>
      <c r="J54" s="18">
        <v>0.35</v>
      </c>
    </row>
    <row r="55" spans="2:10">
      <c r="F55" s="22"/>
    </row>
    <row r="56" spans="2:10" ht="17.25">
      <c r="B56" s="116" t="s">
        <v>48</v>
      </c>
      <c r="C56" s="116"/>
      <c r="D56" s="116"/>
      <c r="E56" s="116"/>
      <c r="F56" s="22"/>
      <c r="G56" s="116" t="s">
        <v>49</v>
      </c>
      <c r="H56" s="116"/>
      <c r="I56" s="116"/>
      <c r="J56" s="116"/>
    </row>
    <row r="57" spans="2:10" ht="105">
      <c r="B57" s="15" t="s">
        <v>1</v>
      </c>
      <c r="C57" s="15" t="s">
        <v>2</v>
      </c>
      <c r="D57" s="15" t="s">
        <v>3</v>
      </c>
      <c r="E57" s="15" t="s">
        <v>4</v>
      </c>
      <c r="F57" s="22"/>
      <c r="G57" s="15" t="s">
        <v>1</v>
      </c>
      <c r="H57" s="15" t="s">
        <v>2</v>
      </c>
      <c r="I57" s="15" t="s">
        <v>3</v>
      </c>
      <c r="J57" s="15" t="s">
        <v>4</v>
      </c>
    </row>
    <row r="58" spans="2:10">
      <c r="B58" s="5">
        <v>0.01</v>
      </c>
      <c r="C58" s="6">
        <v>5222.28</v>
      </c>
      <c r="D58" s="31">
        <v>0</v>
      </c>
      <c r="E58" s="18">
        <v>1.9199999999999998E-2</v>
      </c>
      <c r="F58" s="22"/>
      <c r="G58" s="5">
        <v>0.01</v>
      </c>
      <c r="H58" s="6">
        <v>5968.32</v>
      </c>
      <c r="I58" s="19">
        <v>0</v>
      </c>
      <c r="J58" s="18">
        <v>1.9199999999999998E-2</v>
      </c>
    </row>
    <row r="59" spans="2:10">
      <c r="B59" s="6">
        <v>5222.29</v>
      </c>
      <c r="C59" s="6">
        <v>44324.35</v>
      </c>
      <c r="D59" s="31">
        <v>100.24000000000001</v>
      </c>
      <c r="E59" s="18">
        <v>6.4000000000000001E-2</v>
      </c>
      <c r="F59" s="22"/>
      <c r="G59" s="6">
        <v>5968.33</v>
      </c>
      <c r="H59" s="6">
        <v>50656.4</v>
      </c>
      <c r="I59" s="6">
        <v>114.56</v>
      </c>
      <c r="J59" s="18">
        <v>6.4000000000000001E-2</v>
      </c>
    </row>
    <row r="60" spans="2:10">
      <c r="B60" s="6">
        <v>44324.36</v>
      </c>
      <c r="C60" s="6">
        <v>77896.070000000007</v>
      </c>
      <c r="D60" s="31">
        <v>2602.81</v>
      </c>
      <c r="E60" s="18">
        <v>0.10880000000000001</v>
      </c>
      <c r="F60" s="22"/>
      <c r="G60" s="6">
        <v>50656.41</v>
      </c>
      <c r="H60" s="6">
        <v>89024.08</v>
      </c>
      <c r="I60" s="6">
        <v>2974.64</v>
      </c>
      <c r="J60" s="18">
        <v>0.10880000000000001</v>
      </c>
    </row>
    <row r="61" spans="2:10">
      <c r="B61" s="6">
        <v>77896.08</v>
      </c>
      <c r="C61" s="6">
        <v>90550.739999999991</v>
      </c>
      <c r="D61" s="31">
        <v>6255.41</v>
      </c>
      <c r="E61" s="18">
        <v>0.16</v>
      </c>
      <c r="F61" s="22"/>
      <c r="G61" s="6">
        <v>89024.09</v>
      </c>
      <c r="H61" s="6">
        <v>103486.56</v>
      </c>
      <c r="I61" s="6">
        <v>7149.04</v>
      </c>
      <c r="J61" s="18">
        <v>0.16</v>
      </c>
    </row>
    <row r="62" spans="2:10">
      <c r="B62" s="6">
        <v>90550.749999999985</v>
      </c>
      <c r="C62" s="6">
        <v>108413.97</v>
      </c>
      <c r="D62" s="31">
        <v>8280.16</v>
      </c>
      <c r="E62" s="18">
        <v>0.17920000000000003</v>
      </c>
      <c r="F62" s="22"/>
      <c r="G62" s="6">
        <v>103486.56999999999</v>
      </c>
      <c r="H62" s="6">
        <v>123901.68</v>
      </c>
      <c r="I62" s="6">
        <v>9463.0400000000009</v>
      </c>
      <c r="J62" s="18">
        <v>0.17920000000000003</v>
      </c>
    </row>
    <row r="63" spans="2:10">
      <c r="B63" s="6">
        <v>108413.98</v>
      </c>
      <c r="C63" s="6">
        <v>218655.43000000002</v>
      </c>
      <c r="D63" s="31">
        <v>11481.26</v>
      </c>
      <c r="E63" s="18">
        <v>0.21359999999999998</v>
      </c>
      <c r="F63" s="22"/>
      <c r="G63" s="6">
        <v>123901.68999999999</v>
      </c>
      <c r="H63" s="6">
        <v>249891.92</v>
      </c>
      <c r="I63" s="6">
        <v>13121.44</v>
      </c>
      <c r="J63" s="18">
        <v>0.21359999999999998</v>
      </c>
    </row>
    <row r="64" spans="2:10">
      <c r="B64" s="6">
        <v>218655.44000000003</v>
      </c>
      <c r="C64" s="6">
        <v>344631</v>
      </c>
      <c r="D64" s="31">
        <v>35028.839999999997</v>
      </c>
      <c r="E64" s="18">
        <v>0.23519999999999999</v>
      </c>
      <c r="F64" s="22"/>
      <c r="G64" s="6">
        <v>249891.93000000002</v>
      </c>
      <c r="H64" s="6">
        <v>393864</v>
      </c>
      <c r="I64" s="6">
        <v>40032.959999999999</v>
      </c>
      <c r="J64" s="18">
        <v>0.23519999999999999</v>
      </c>
    </row>
    <row r="65" spans="2:10">
      <c r="B65" s="6">
        <v>344631.01</v>
      </c>
      <c r="C65" s="6">
        <v>657957.29999999993</v>
      </c>
      <c r="D65" s="31">
        <v>64658.229999999996</v>
      </c>
      <c r="E65" s="18">
        <v>0.3</v>
      </c>
      <c r="F65" s="22"/>
      <c r="G65" s="6">
        <v>393864.01</v>
      </c>
      <c r="H65" s="6">
        <v>751951.2</v>
      </c>
      <c r="I65" s="6">
        <v>73895.12</v>
      </c>
      <c r="J65" s="18">
        <v>0.3</v>
      </c>
    </row>
    <row r="66" spans="2:10">
      <c r="B66" s="6">
        <v>657957.30999999994</v>
      </c>
      <c r="C66" s="6">
        <v>877276.4</v>
      </c>
      <c r="D66" s="31">
        <v>158656.19</v>
      </c>
      <c r="E66" s="18">
        <v>0.32</v>
      </c>
      <c r="F66" s="22"/>
      <c r="G66" s="6">
        <v>751951.21</v>
      </c>
      <c r="H66" s="6">
        <v>1002601.6</v>
      </c>
      <c r="I66" s="6">
        <v>181321.36</v>
      </c>
      <c r="J66" s="18">
        <v>0.32</v>
      </c>
    </row>
    <row r="67" spans="2:10">
      <c r="B67" s="6">
        <v>877276.41</v>
      </c>
      <c r="C67" s="6">
        <v>2631829.27</v>
      </c>
      <c r="D67" s="31">
        <v>228838.26</v>
      </c>
      <c r="E67" s="18">
        <v>0.34</v>
      </c>
      <c r="F67" s="22"/>
      <c r="G67" s="6">
        <v>1002601.61</v>
      </c>
      <c r="H67" s="6">
        <v>3007804.88</v>
      </c>
      <c r="I67" s="6">
        <v>261529.44</v>
      </c>
      <c r="J67" s="18">
        <v>0.34</v>
      </c>
    </row>
    <row r="68" spans="2:10">
      <c r="B68" s="6">
        <v>2631829.2799999998</v>
      </c>
      <c r="C68" s="5" t="s">
        <v>5</v>
      </c>
      <c r="D68" s="31">
        <v>825386.24</v>
      </c>
      <c r="E68" s="18">
        <v>0.35</v>
      </c>
      <c r="F68" s="22"/>
      <c r="G68" s="6">
        <v>3007804.8899999997</v>
      </c>
      <c r="H68" s="5" t="s">
        <v>5</v>
      </c>
      <c r="I68" s="6">
        <v>943298.56000000006</v>
      </c>
      <c r="J68" s="18">
        <v>0.35</v>
      </c>
    </row>
    <row r="69" spans="2:10">
      <c r="B69" s="6"/>
      <c r="C69" s="5"/>
      <c r="D69" s="6"/>
      <c r="E69" s="18"/>
      <c r="F69" s="22"/>
      <c r="G69" s="6"/>
      <c r="H69" s="5"/>
      <c r="I69" s="6"/>
      <c r="J69" s="18"/>
    </row>
    <row r="70" spans="2:10">
      <c r="B70" s="6"/>
      <c r="C70" s="5"/>
      <c r="D70" s="6"/>
      <c r="E70" s="18"/>
      <c r="F70" s="22"/>
      <c r="G70" s="6"/>
      <c r="H70" s="5"/>
      <c r="I70" s="6"/>
      <c r="J70" s="18"/>
    </row>
    <row r="71" spans="2:10">
      <c r="B71" s="6"/>
      <c r="C71" s="5"/>
      <c r="D71" s="6"/>
      <c r="E71" s="18"/>
      <c r="F71" s="22"/>
      <c r="G71" s="6"/>
      <c r="H71" s="5"/>
      <c r="I71" s="6"/>
      <c r="J71" s="18"/>
    </row>
    <row r="72" spans="2:10">
      <c r="B72" s="6"/>
      <c r="C72" s="5"/>
      <c r="D72" s="6"/>
      <c r="E72" s="18"/>
      <c r="F72" s="22"/>
      <c r="G72" s="6"/>
      <c r="H72" s="5"/>
      <c r="I72" s="6"/>
      <c r="J72" s="18"/>
    </row>
    <row r="73" spans="2:10">
      <c r="B73" s="6"/>
      <c r="C73" s="5"/>
      <c r="D73" s="6"/>
      <c r="E73" s="18"/>
      <c r="F73" s="22"/>
      <c r="G73" s="6"/>
      <c r="H73" s="5"/>
      <c r="I73" s="6"/>
      <c r="J73" s="18"/>
    </row>
    <row r="74" spans="2:10" ht="17.25">
      <c r="B74" s="116" t="s">
        <v>50</v>
      </c>
      <c r="C74" s="116"/>
      <c r="D74" s="116"/>
      <c r="E74" s="116"/>
      <c r="F74" s="22"/>
      <c r="G74" s="116" t="s">
        <v>51</v>
      </c>
      <c r="H74" s="116"/>
      <c r="I74" s="116"/>
      <c r="J74" s="116"/>
    </row>
    <row r="75" spans="2:10" ht="105">
      <c r="B75" s="15" t="s">
        <v>1</v>
      </c>
      <c r="C75" s="15" t="s">
        <v>2</v>
      </c>
      <c r="D75" s="15" t="s">
        <v>3</v>
      </c>
      <c r="E75" s="15" t="s">
        <v>4</v>
      </c>
      <c r="F75" s="22"/>
      <c r="G75" s="15" t="s">
        <v>1</v>
      </c>
      <c r="H75" s="15" t="s">
        <v>2</v>
      </c>
      <c r="I75" s="15" t="s">
        <v>3</v>
      </c>
      <c r="J75" s="15" t="s">
        <v>4</v>
      </c>
    </row>
    <row r="76" spans="2:10">
      <c r="B76" s="5">
        <v>0.01</v>
      </c>
      <c r="C76" s="6">
        <v>6714.36</v>
      </c>
      <c r="D76" s="19">
        <v>0</v>
      </c>
      <c r="E76" s="18">
        <v>1.9199999999999998E-2</v>
      </c>
      <c r="F76" s="22"/>
      <c r="G76" s="5">
        <v>0.01</v>
      </c>
      <c r="H76" s="6">
        <v>7460.4</v>
      </c>
      <c r="I76" s="19">
        <v>0</v>
      </c>
      <c r="J76" s="18">
        <v>1.9199999999999998E-2</v>
      </c>
    </row>
    <row r="77" spans="2:10">
      <c r="B77" s="6">
        <v>6714.37</v>
      </c>
      <c r="C77" s="6">
        <v>56988.450000000004</v>
      </c>
      <c r="D77" s="6">
        <v>128.88</v>
      </c>
      <c r="E77" s="18">
        <v>6.4000000000000001E-2</v>
      </c>
      <c r="F77" s="22"/>
      <c r="G77" s="6">
        <v>7460.41</v>
      </c>
      <c r="H77" s="6">
        <v>63320.5</v>
      </c>
      <c r="I77" s="31">
        <v>143.19999999999999</v>
      </c>
      <c r="J77" s="18">
        <v>6.4000000000000001E-2</v>
      </c>
    </row>
    <row r="78" spans="2:10">
      <c r="B78" s="6">
        <v>56988.460000000006</v>
      </c>
      <c r="C78" s="6">
        <v>100152.09</v>
      </c>
      <c r="D78" s="6">
        <v>3346.47</v>
      </c>
      <c r="E78" s="18">
        <v>0.10880000000000001</v>
      </c>
      <c r="F78" s="22"/>
      <c r="G78" s="6">
        <v>63320.51</v>
      </c>
      <c r="H78" s="6">
        <v>111280.1</v>
      </c>
      <c r="I78" s="31">
        <v>3718.2999999999997</v>
      </c>
      <c r="J78" s="18">
        <v>0.10880000000000001</v>
      </c>
    </row>
    <row r="79" spans="2:10">
      <c r="B79" s="6">
        <v>100152.09999999999</v>
      </c>
      <c r="C79" s="6">
        <v>116422.38</v>
      </c>
      <c r="D79" s="6">
        <v>8042.67</v>
      </c>
      <c r="E79" s="18">
        <v>0.16</v>
      </c>
      <c r="F79" s="22"/>
      <c r="G79" s="6">
        <v>111280.11</v>
      </c>
      <c r="H79" s="6">
        <v>129358.2</v>
      </c>
      <c r="I79" s="31">
        <v>8936.2999999999993</v>
      </c>
      <c r="J79" s="18">
        <v>0.16</v>
      </c>
    </row>
    <row r="80" spans="2:10">
      <c r="B80" s="6">
        <v>116422.39</v>
      </c>
      <c r="C80" s="6">
        <v>139389.38999999998</v>
      </c>
      <c r="D80" s="6">
        <v>10645.920000000002</v>
      </c>
      <c r="E80" s="18">
        <v>0.17920000000000003</v>
      </c>
      <c r="F80" s="22"/>
      <c r="G80" s="6">
        <v>129358.20999999999</v>
      </c>
      <c r="H80" s="6">
        <v>154877.09999999998</v>
      </c>
      <c r="I80" s="31">
        <v>11828.800000000001</v>
      </c>
      <c r="J80" s="18">
        <v>0.17920000000000003</v>
      </c>
    </row>
    <row r="81" spans="2:10">
      <c r="B81" s="6">
        <v>139389.4</v>
      </c>
      <c r="C81" s="6">
        <v>281128.41000000003</v>
      </c>
      <c r="D81" s="6">
        <v>14761.62</v>
      </c>
      <c r="E81" s="18">
        <v>0.21359999999999998</v>
      </c>
      <c r="F81" s="22"/>
      <c r="G81" s="6">
        <v>154877.10999999999</v>
      </c>
      <c r="H81" s="6">
        <v>312364.90000000002</v>
      </c>
      <c r="I81" s="31">
        <v>16401.8</v>
      </c>
      <c r="J81" s="18">
        <v>0.21359999999999998</v>
      </c>
    </row>
    <row r="82" spans="2:10">
      <c r="B82" s="6">
        <v>281128.42000000004</v>
      </c>
      <c r="C82" s="6">
        <v>443097</v>
      </c>
      <c r="D82" s="6">
        <v>45037.08</v>
      </c>
      <c r="E82" s="18">
        <v>0.23519999999999999</v>
      </c>
      <c r="F82" s="22"/>
      <c r="G82" s="6">
        <v>312364.91000000003</v>
      </c>
      <c r="H82" s="6">
        <v>492330</v>
      </c>
      <c r="I82" s="31">
        <v>50041.2</v>
      </c>
      <c r="J82" s="18">
        <v>0.23519999999999999</v>
      </c>
    </row>
    <row r="83" spans="2:10">
      <c r="B83" s="6">
        <v>443097.01</v>
      </c>
      <c r="C83" s="6">
        <v>845945.1</v>
      </c>
      <c r="D83" s="6">
        <v>83132.009999999995</v>
      </c>
      <c r="E83" s="18">
        <v>0.3</v>
      </c>
      <c r="F83" s="22"/>
      <c r="G83" s="6">
        <v>492330.01</v>
      </c>
      <c r="H83" s="6">
        <v>939939</v>
      </c>
      <c r="I83" s="31">
        <v>92368.9</v>
      </c>
      <c r="J83" s="18">
        <v>0.3</v>
      </c>
    </row>
    <row r="84" spans="2:10">
      <c r="B84" s="6">
        <v>845945.11</v>
      </c>
      <c r="C84" s="6">
        <v>1127926.8</v>
      </c>
      <c r="D84" s="6">
        <v>203986.52999999997</v>
      </c>
      <c r="E84" s="18">
        <v>0.32</v>
      </c>
      <c r="F84" s="22"/>
      <c r="G84" s="6">
        <v>939939.01</v>
      </c>
      <c r="H84" s="6">
        <v>1253252</v>
      </c>
      <c r="I84" s="31">
        <v>226651.69999999998</v>
      </c>
      <c r="J84" s="18">
        <v>0.32</v>
      </c>
    </row>
    <row r="85" spans="2:10">
      <c r="B85" s="6">
        <v>1127926.81</v>
      </c>
      <c r="C85" s="6">
        <v>3383780.4899999998</v>
      </c>
      <c r="D85" s="6">
        <v>294220.62</v>
      </c>
      <c r="E85" s="18">
        <v>0.34</v>
      </c>
      <c r="F85" s="22"/>
      <c r="G85" s="6">
        <v>1253252.01</v>
      </c>
      <c r="H85" s="6">
        <v>3759756.0999999996</v>
      </c>
      <c r="I85" s="31">
        <v>326911.8</v>
      </c>
      <c r="J85" s="18">
        <v>0.34</v>
      </c>
    </row>
    <row r="86" spans="2:10">
      <c r="B86" s="6">
        <v>3383780.4999999995</v>
      </c>
      <c r="C86" s="5" t="s">
        <v>5</v>
      </c>
      <c r="D86" s="6">
        <v>1061210.8800000001</v>
      </c>
      <c r="E86" s="18">
        <v>0.35</v>
      </c>
      <c r="F86" s="22"/>
      <c r="G86" s="6">
        <v>3759756.1099999994</v>
      </c>
      <c r="H86" s="5" t="s">
        <v>5</v>
      </c>
      <c r="I86" s="31">
        <v>1179123.2000000002</v>
      </c>
      <c r="J86" s="18">
        <v>0.35</v>
      </c>
    </row>
    <row r="87" spans="2:10">
      <c r="F87" s="22"/>
    </row>
    <row r="88" spans="2:10">
      <c r="F88" s="22"/>
    </row>
    <row r="89" spans="2:10">
      <c r="F89" s="22"/>
    </row>
    <row r="90" spans="2:10">
      <c r="F90" s="22"/>
    </row>
    <row r="91" spans="2:10">
      <c r="F91" s="22"/>
    </row>
    <row r="92" spans="2:10" ht="17.25">
      <c r="B92" s="122" t="s">
        <v>52</v>
      </c>
      <c r="C92" s="122"/>
      <c r="D92" s="122"/>
      <c r="E92" s="122"/>
      <c r="F92" s="22"/>
      <c r="G92" s="122" t="s">
        <v>53</v>
      </c>
      <c r="H92" s="122"/>
      <c r="I92" s="122"/>
      <c r="J92" s="122"/>
    </row>
    <row r="93" spans="2:10" ht="105">
      <c r="B93" s="4" t="s">
        <v>1</v>
      </c>
      <c r="C93" s="4" t="s">
        <v>2</v>
      </c>
      <c r="D93" s="4" t="s">
        <v>3</v>
      </c>
      <c r="E93" s="4" t="s">
        <v>4</v>
      </c>
      <c r="F93" s="22"/>
      <c r="G93" s="4" t="s">
        <v>1</v>
      </c>
      <c r="H93" s="4" t="s">
        <v>2</v>
      </c>
      <c r="I93" s="4" t="s">
        <v>3</v>
      </c>
      <c r="J93" s="4" t="s">
        <v>4</v>
      </c>
    </row>
    <row r="94" spans="2:10">
      <c r="B94" s="5">
        <v>0.01</v>
      </c>
      <c r="C94" s="6">
        <v>8206.44</v>
      </c>
      <c r="D94" s="19">
        <v>0</v>
      </c>
      <c r="E94" s="18">
        <v>1.9199999999999998E-2</v>
      </c>
      <c r="F94" s="22"/>
      <c r="G94" s="5">
        <v>0.01</v>
      </c>
      <c r="H94" s="6">
        <v>8952.49</v>
      </c>
      <c r="I94" s="19">
        <v>0</v>
      </c>
      <c r="J94" s="18">
        <v>1.9199999999999998E-2</v>
      </c>
    </row>
    <row r="95" spans="2:10">
      <c r="B95" s="6">
        <v>8206.4500000000007</v>
      </c>
      <c r="C95" s="6">
        <v>69652.55</v>
      </c>
      <c r="D95" s="6">
        <v>157.52000000000001</v>
      </c>
      <c r="E95" s="18">
        <v>6.4000000000000001E-2</v>
      </c>
      <c r="F95" s="22"/>
      <c r="G95" s="6">
        <v>8952.5</v>
      </c>
      <c r="H95" s="6">
        <v>75984.600000000006</v>
      </c>
      <c r="I95" s="31">
        <v>171.88</v>
      </c>
      <c r="J95" s="18">
        <v>6.4000000000000001E-2</v>
      </c>
    </row>
    <row r="96" spans="2:10">
      <c r="B96" s="6">
        <v>69652.56</v>
      </c>
      <c r="C96" s="6">
        <v>122408.11</v>
      </c>
      <c r="D96" s="6">
        <v>4090.1299999999997</v>
      </c>
      <c r="E96" s="18">
        <v>0.10880000000000001</v>
      </c>
      <c r="F96" s="22"/>
      <c r="G96" s="6">
        <v>75984.61</v>
      </c>
      <c r="H96" s="6">
        <v>133536.12</v>
      </c>
      <c r="I96" s="31">
        <v>4461.9399999999996</v>
      </c>
      <c r="J96" s="18">
        <v>0.10880000000000001</v>
      </c>
    </row>
    <row r="97" spans="2:10">
      <c r="B97" s="6">
        <v>122408.12</v>
      </c>
      <c r="C97" s="6">
        <v>142294.01999999999</v>
      </c>
      <c r="D97" s="6">
        <v>9829.93</v>
      </c>
      <c r="E97" s="18">
        <v>0.16</v>
      </c>
      <c r="F97" s="22"/>
      <c r="G97" s="6">
        <v>133536.13</v>
      </c>
      <c r="H97" s="6">
        <v>155229.84</v>
      </c>
      <c r="I97" s="31">
        <v>10723.55</v>
      </c>
      <c r="J97" s="18">
        <v>0.16</v>
      </c>
    </row>
    <row r="98" spans="2:10">
      <c r="B98" s="6">
        <v>142294.03</v>
      </c>
      <c r="C98" s="6">
        <v>170364.81</v>
      </c>
      <c r="D98" s="6">
        <v>13011.68</v>
      </c>
      <c r="E98" s="18">
        <v>0.17920000000000003</v>
      </c>
      <c r="F98" s="22"/>
      <c r="G98" s="6">
        <v>155229.85</v>
      </c>
      <c r="H98" s="6">
        <v>185852.52</v>
      </c>
      <c r="I98" s="31">
        <v>14194.54</v>
      </c>
      <c r="J98" s="18">
        <v>0.17920000000000003</v>
      </c>
    </row>
    <row r="99" spans="2:10">
      <c r="B99" s="6">
        <v>170364.82</v>
      </c>
      <c r="C99" s="6">
        <v>343601.39</v>
      </c>
      <c r="D99" s="6">
        <v>18041.98</v>
      </c>
      <c r="E99" s="18">
        <v>0.21359999999999998</v>
      </c>
      <c r="F99" s="22"/>
      <c r="G99" s="6">
        <v>185852.53</v>
      </c>
      <c r="H99" s="6">
        <v>374837.88</v>
      </c>
      <c r="I99" s="31">
        <v>19682.13</v>
      </c>
      <c r="J99" s="18">
        <v>0.21359999999999998</v>
      </c>
    </row>
    <row r="100" spans="2:10">
      <c r="B100" s="6">
        <v>343601.4</v>
      </c>
      <c r="C100" s="6">
        <v>541563</v>
      </c>
      <c r="D100" s="6">
        <v>55045.32</v>
      </c>
      <c r="E100" s="18">
        <v>0.23519999999999999</v>
      </c>
      <c r="F100" s="22"/>
      <c r="G100" s="6">
        <v>374837.89</v>
      </c>
      <c r="H100" s="6">
        <v>590796</v>
      </c>
      <c r="I100" s="31">
        <v>60049.4</v>
      </c>
      <c r="J100" s="18">
        <v>0.23519999999999999</v>
      </c>
    </row>
    <row r="101" spans="2:10">
      <c r="B101" s="6">
        <v>541563.01</v>
      </c>
      <c r="C101" s="6">
        <v>1033932.8999999999</v>
      </c>
      <c r="D101" s="6">
        <v>101605.79</v>
      </c>
      <c r="E101" s="18">
        <v>0.3</v>
      </c>
      <c r="F101" s="22"/>
      <c r="G101" s="6">
        <v>590796.01</v>
      </c>
      <c r="H101" s="6">
        <v>1127926.7999999998</v>
      </c>
      <c r="I101" s="31">
        <v>110842.74</v>
      </c>
      <c r="J101" s="18">
        <v>0.3</v>
      </c>
    </row>
    <row r="102" spans="2:10">
      <c r="B102" s="6">
        <v>1033932.9099999999</v>
      </c>
      <c r="C102" s="6">
        <v>1378577.2</v>
      </c>
      <c r="D102" s="6">
        <v>249316.87</v>
      </c>
      <c r="E102" s="18">
        <v>0.32</v>
      </c>
      <c r="F102" s="22"/>
      <c r="G102" s="6">
        <v>1127926.8099999998</v>
      </c>
      <c r="H102" s="6">
        <v>1503902.4</v>
      </c>
      <c r="I102" s="31">
        <v>271981.99</v>
      </c>
      <c r="J102" s="18">
        <v>0.32</v>
      </c>
    </row>
    <row r="103" spans="2:10">
      <c r="B103" s="6">
        <v>1378577.21</v>
      </c>
      <c r="C103" s="6">
        <v>4135731.71</v>
      </c>
      <c r="D103" s="6">
        <v>359602.98</v>
      </c>
      <c r="E103" s="18">
        <v>0.34</v>
      </c>
      <c r="F103" s="22"/>
      <c r="G103" s="6">
        <v>1503902.41</v>
      </c>
      <c r="H103" s="6">
        <v>4511707.32</v>
      </c>
      <c r="I103" s="31">
        <v>392294.17</v>
      </c>
      <c r="J103" s="18">
        <v>0.34</v>
      </c>
    </row>
    <row r="104" spans="2:10">
      <c r="B104" s="6">
        <v>4135731.7199999997</v>
      </c>
      <c r="C104" s="5" t="s">
        <v>5</v>
      </c>
      <c r="D104" s="6">
        <v>1297035.52</v>
      </c>
      <c r="E104" s="18">
        <v>0.35</v>
      </c>
      <c r="F104" s="22"/>
      <c r="G104" s="6">
        <v>4511707.33</v>
      </c>
      <c r="H104" s="5" t="s">
        <v>5</v>
      </c>
      <c r="I104" s="31">
        <v>1414947.85</v>
      </c>
      <c r="J104" s="18">
        <v>0.35</v>
      </c>
    </row>
  </sheetData>
  <mergeCells count="13">
    <mergeCell ref="B42:E42"/>
    <mergeCell ref="G42:J42"/>
    <mergeCell ref="B4:J4"/>
    <mergeCell ref="B6:E6"/>
    <mergeCell ref="G6:J6"/>
    <mergeCell ref="B24:E24"/>
    <mergeCell ref="G24:J24"/>
    <mergeCell ref="B56:E56"/>
    <mergeCell ref="G56:J56"/>
    <mergeCell ref="B74:E74"/>
    <mergeCell ref="G74:J74"/>
    <mergeCell ref="B92:E92"/>
    <mergeCell ref="G92:J9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8"/>
  <sheetViews>
    <sheetView showGridLines="0" workbookViewId="0">
      <selection activeCell="A4" sqref="A3:XFD4"/>
    </sheetView>
  </sheetViews>
  <sheetFormatPr baseColWidth="10" defaultRowHeight="15"/>
  <cols>
    <col min="4" max="4" width="13.140625" bestFit="1" customWidth="1"/>
  </cols>
  <sheetData>
    <row r="2" spans="1:13" ht="15" customHeight="1">
      <c r="B2" s="11"/>
      <c r="C2" s="11"/>
      <c r="D2" s="11"/>
      <c r="E2" s="11"/>
      <c r="F2" s="11"/>
      <c r="G2" s="11"/>
      <c r="H2" s="11"/>
      <c r="I2" s="11"/>
      <c r="J2" s="11"/>
      <c r="K2" s="11"/>
    </row>
    <row r="3" spans="1:13" ht="15" customHeight="1">
      <c r="A3" s="11"/>
      <c r="B3" s="11"/>
      <c r="C3" s="11"/>
      <c r="D3" s="11"/>
      <c r="E3" s="11"/>
      <c r="F3" s="11"/>
      <c r="G3" s="11"/>
      <c r="H3" s="11"/>
      <c r="I3" s="11"/>
      <c r="J3" s="11"/>
      <c r="K3" s="11"/>
    </row>
    <row r="4" spans="1:13" ht="15" customHeight="1">
      <c r="A4" s="11"/>
      <c r="B4" s="11"/>
      <c r="C4" s="11"/>
      <c r="D4" s="11"/>
      <c r="E4" s="11"/>
      <c r="F4" s="11"/>
      <c r="G4" s="11"/>
      <c r="H4" s="11"/>
      <c r="I4" s="11"/>
      <c r="J4" s="11"/>
      <c r="K4" s="11"/>
    </row>
    <row r="5" spans="1:13" ht="15" customHeight="1">
      <c r="A5" s="11"/>
      <c r="B5" s="115" t="s">
        <v>55</v>
      </c>
      <c r="C5" s="115"/>
      <c r="D5" s="115"/>
      <c r="E5" s="115"/>
      <c r="F5" s="115"/>
      <c r="G5" s="115"/>
      <c r="H5" s="115"/>
      <c r="I5" s="115"/>
      <c r="J5" s="11"/>
      <c r="K5" s="11"/>
    </row>
    <row r="6" spans="1:13" ht="15" customHeight="1">
      <c r="A6" s="11"/>
      <c r="B6" s="115"/>
      <c r="C6" s="115"/>
      <c r="D6" s="115"/>
      <c r="E6" s="115"/>
      <c r="F6" s="115"/>
      <c r="G6" s="115"/>
      <c r="H6" s="115"/>
      <c r="I6" s="115"/>
      <c r="J6" s="11"/>
      <c r="K6" s="11"/>
    </row>
    <row r="7" spans="1:13" ht="15" customHeight="1">
      <c r="A7" s="11"/>
      <c r="B7" s="115"/>
      <c r="C7" s="115"/>
      <c r="D7" s="115"/>
      <c r="E7" s="115"/>
      <c r="F7" s="115"/>
      <c r="G7" s="115"/>
      <c r="H7" s="115"/>
      <c r="I7" s="115"/>
      <c r="J7" s="11"/>
      <c r="K7" s="11"/>
    </row>
    <row r="8" spans="1:13" ht="15" customHeight="1">
      <c r="A8" s="11"/>
      <c r="B8" s="115"/>
      <c r="C8" s="115"/>
      <c r="D8" s="115"/>
      <c r="E8" s="115"/>
      <c r="F8" s="115"/>
      <c r="G8" s="115"/>
      <c r="H8" s="115"/>
      <c r="I8" s="115"/>
      <c r="J8" s="11"/>
      <c r="K8" s="11"/>
    </row>
    <row r="9" spans="1:13" ht="23.25" customHeight="1">
      <c r="A9" s="11"/>
      <c r="B9" s="11"/>
      <c r="C9" s="11"/>
      <c r="D9" s="11"/>
      <c r="E9" s="11"/>
      <c r="F9" s="11"/>
      <c r="G9" s="11"/>
      <c r="H9" s="11"/>
      <c r="I9" s="11"/>
      <c r="J9" s="11"/>
      <c r="K9" s="11"/>
      <c r="L9" s="11"/>
      <c r="M9" s="11"/>
    </row>
    <row r="10" spans="1:13" ht="15" customHeight="1">
      <c r="A10" s="1"/>
      <c r="B10" s="1"/>
      <c r="C10" s="1"/>
      <c r="D10" s="123" t="s">
        <v>56</v>
      </c>
      <c r="E10" s="123"/>
      <c r="F10" s="123"/>
      <c r="G10" s="123"/>
      <c r="H10" s="1"/>
      <c r="I10" s="1"/>
      <c r="J10" s="1"/>
      <c r="K10" s="1"/>
      <c r="L10" s="11"/>
      <c r="M10" s="11"/>
    </row>
    <row r="11" spans="1:13" ht="105">
      <c r="D11" s="15" t="s">
        <v>1</v>
      </c>
      <c r="E11" s="15" t="s">
        <v>2</v>
      </c>
      <c r="F11" s="15" t="s">
        <v>3</v>
      </c>
      <c r="G11" s="15" t="s">
        <v>4</v>
      </c>
    </row>
    <row r="12" spans="1:13">
      <c r="D12" s="31">
        <v>0.01</v>
      </c>
      <c r="E12" s="5">
        <v>764.04</v>
      </c>
      <c r="F12" s="31">
        <v>0</v>
      </c>
      <c r="G12" s="18">
        <v>1.9199999999999998E-2</v>
      </c>
    </row>
    <row r="13" spans="1:13">
      <c r="D13" s="31">
        <f>+E12+0.01</f>
        <v>764.05</v>
      </c>
      <c r="E13" s="6">
        <v>6332.05</v>
      </c>
      <c r="F13" s="31">
        <v>14.32</v>
      </c>
      <c r="G13" s="18">
        <v>6.4000000000000001E-2</v>
      </c>
    </row>
    <row r="14" spans="1:13">
      <c r="D14" s="31">
        <f t="shared" ref="D14:D22" si="0">+E13+0.01</f>
        <v>6332.06</v>
      </c>
      <c r="E14" s="6">
        <v>11128.01</v>
      </c>
      <c r="F14" s="31">
        <v>371.83</v>
      </c>
      <c r="G14" s="18">
        <v>0.10880000000000001</v>
      </c>
    </row>
    <row r="15" spans="1:13">
      <c r="D15" s="31">
        <f t="shared" si="0"/>
        <v>11128.02</v>
      </c>
      <c r="E15" s="6">
        <v>12935.82</v>
      </c>
      <c r="F15" s="31">
        <v>893.63</v>
      </c>
      <c r="G15" s="18">
        <v>0.16</v>
      </c>
    </row>
    <row r="16" spans="1:13">
      <c r="D16" s="31">
        <f t="shared" si="0"/>
        <v>12935.83</v>
      </c>
      <c r="E16" s="6">
        <v>15487.71</v>
      </c>
      <c r="F16" s="31">
        <v>1182.8800000000001</v>
      </c>
      <c r="G16" s="18">
        <v>0.17920000000000003</v>
      </c>
    </row>
    <row r="17" spans="4:7">
      <c r="D17" s="31">
        <f t="shared" si="0"/>
        <v>15487.72</v>
      </c>
      <c r="E17" s="6">
        <v>31236.49</v>
      </c>
      <c r="F17" s="31">
        <v>1640.18</v>
      </c>
      <c r="G17" s="18">
        <v>0.21359999999999998</v>
      </c>
    </row>
    <row r="18" spans="4:7">
      <c r="D18" s="31">
        <f t="shared" si="0"/>
        <v>31236.5</v>
      </c>
      <c r="E18" s="6">
        <v>49233</v>
      </c>
      <c r="F18" s="31">
        <v>5004.12</v>
      </c>
      <c r="G18" s="18">
        <v>0.23519999999999999</v>
      </c>
    </row>
    <row r="19" spans="4:7">
      <c r="D19" s="31">
        <f t="shared" si="0"/>
        <v>49233.01</v>
      </c>
      <c r="E19" s="6">
        <v>93993.9</v>
      </c>
      <c r="F19" s="31">
        <v>9236.89</v>
      </c>
      <c r="G19" s="18">
        <v>0.3</v>
      </c>
    </row>
    <row r="20" spans="4:7">
      <c r="D20" s="31">
        <f t="shared" si="0"/>
        <v>93993.909999999989</v>
      </c>
      <c r="E20" s="6">
        <v>125325.2</v>
      </c>
      <c r="F20" s="31">
        <v>22665.17</v>
      </c>
      <c r="G20" s="18">
        <v>0.32</v>
      </c>
    </row>
    <row r="21" spans="4:7">
      <c r="D21" s="31">
        <f t="shared" si="0"/>
        <v>125325.20999999999</v>
      </c>
      <c r="E21" s="6">
        <v>375975.61</v>
      </c>
      <c r="F21" s="31">
        <v>32691.18</v>
      </c>
      <c r="G21" s="18">
        <v>0.34</v>
      </c>
    </row>
    <row r="22" spans="4:7">
      <c r="D22" s="31">
        <f t="shared" si="0"/>
        <v>375975.62</v>
      </c>
      <c r="E22" s="5" t="s">
        <v>5</v>
      </c>
      <c r="F22" s="31">
        <v>117912.32000000001</v>
      </c>
      <c r="G22" s="18">
        <v>0.35</v>
      </c>
    </row>
    <row r="26" spans="4:7" ht="20.25">
      <c r="D26" s="123" t="s">
        <v>57</v>
      </c>
      <c r="E26" s="123"/>
      <c r="F26" s="123"/>
      <c r="G26" s="123"/>
    </row>
    <row r="27" spans="4:7" ht="105">
      <c r="D27" s="15" t="s">
        <v>1</v>
      </c>
      <c r="E27" s="15" t="s">
        <v>2</v>
      </c>
      <c r="F27" s="15" t="s">
        <v>3</v>
      </c>
      <c r="G27" s="15" t="s">
        <v>4</v>
      </c>
    </row>
    <row r="28" spans="4:7">
      <c r="D28" s="31">
        <v>0.01</v>
      </c>
      <c r="E28" s="5">
        <v>2238.12</v>
      </c>
      <c r="F28" s="19">
        <v>0</v>
      </c>
      <c r="G28" s="18">
        <v>1.9199999999999998E-2</v>
      </c>
    </row>
    <row r="29" spans="4:7">
      <c r="D29" s="31">
        <v>2238.13</v>
      </c>
      <c r="E29" s="6">
        <v>18996.150000000001</v>
      </c>
      <c r="F29" s="31">
        <v>42.96</v>
      </c>
      <c r="G29" s="18">
        <v>6.4000000000000001E-2</v>
      </c>
    </row>
    <row r="30" spans="4:7">
      <c r="D30" s="31">
        <v>18996.16</v>
      </c>
      <c r="E30" s="6">
        <v>33384.03</v>
      </c>
      <c r="F30" s="31">
        <v>1115.49</v>
      </c>
      <c r="G30" s="18">
        <v>0.10880000000000001</v>
      </c>
    </row>
    <row r="31" spans="4:7">
      <c r="D31" s="31">
        <v>33384.04</v>
      </c>
      <c r="E31" s="6">
        <v>38807.46</v>
      </c>
      <c r="F31" s="31">
        <v>2680.89</v>
      </c>
      <c r="G31" s="18">
        <v>0.16</v>
      </c>
    </row>
    <row r="32" spans="4:7">
      <c r="D32" s="31">
        <v>38807.47</v>
      </c>
      <c r="E32" s="6">
        <v>46463.13</v>
      </c>
      <c r="F32" s="31">
        <v>3548.6400000000003</v>
      </c>
      <c r="G32" s="18">
        <v>0.17920000000000003</v>
      </c>
    </row>
    <row r="33" spans="4:7">
      <c r="D33" s="31">
        <v>46463.14</v>
      </c>
      <c r="E33" s="6">
        <v>93709.47</v>
      </c>
      <c r="F33" s="31">
        <v>4920.54</v>
      </c>
      <c r="G33" s="18">
        <v>0.21359999999999998</v>
      </c>
    </row>
    <row r="34" spans="4:7">
      <c r="D34" s="31">
        <v>93709.48</v>
      </c>
      <c r="E34" s="6">
        <v>147699</v>
      </c>
      <c r="F34" s="31">
        <v>15012.36</v>
      </c>
      <c r="G34" s="18">
        <v>0.23519999999999999</v>
      </c>
    </row>
    <row r="35" spans="4:7">
      <c r="D35" s="31">
        <v>147699.01</v>
      </c>
      <c r="E35" s="6">
        <v>281981.69999999995</v>
      </c>
      <c r="F35" s="6">
        <v>27710.67</v>
      </c>
      <c r="G35" s="18">
        <v>0.3</v>
      </c>
    </row>
    <row r="36" spans="4:7">
      <c r="D36" s="31">
        <v>281981.70999999996</v>
      </c>
      <c r="E36" s="6">
        <v>375975.6</v>
      </c>
      <c r="F36" s="6">
        <v>67995.509999999995</v>
      </c>
      <c r="G36" s="18">
        <v>0.32</v>
      </c>
    </row>
    <row r="37" spans="4:7">
      <c r="D37" s="31">
        <v>375975.61</v>
      </c>
      <c r="E37" s="6">
        <v>1127926.83</v>
      </c>
      <c r="F37" s="6">
        <v>98073.540000000008</v>
      </c>
      <c r="G37" s="18">
        <v>0.34</v>
      </c>
    </row>
    <row r="38" spans="4:7">
      <c r="D38" s="31">
        <v>1127926.8400000001</v>
      </c>
      <c r="E38" s="5" t="s">
        <v>5</v>
      </c>
      <c r="F38" s="6">
        <v>353736.96000000002</v>
      </c>
      <c r="G38" s="18">
        <v>0.35</v>
      </c>
    </row>
  </sheetData>
  <mergeCells count="3">
    <mergeCell ref="D10:G10"/>
    <mergeCell ref="D26:G26"/>
    <mergeCell ref="B5:I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I41"/>
  <sheetViews>
    <sheetView showGridLines="0" workbookViewId="0">
      <selection activeCell="A4" sqref="A3:XFD4"/>
    </sheetView>
  </sheetViews>
  <sheetFormatPr baseColWidth="10" defaultRowHeight="15"/>
  <cols>
    <col min="4" max="6" width="13" bestFit="1" customWidth="1"/>
  </cols>
  <sheetData>
    <row r="4" spans="2:9" ht="23.25" customHeight="1">
      <c r="B4" s="115" t="s">
        <v>58</v>
      </c>
      <c r="C4" s="115"/>
      <c r="D4" s="115"/>
      <c r="E4" s="115"/>
      <c r="F4" s="115"/>
      <c r="G4" s="115"/>
      <c r="H4" s="115"/>
      <c r="I4" s="115"/>
    </row>
    <row r="5" spans="2:9">
      <c r="B5" s="115"/>
      <c r="C5" s="115"/>
      <c r="D5" s="115"/>
      <c r="E5" s="115"/>
      <c r="F5" s="115"/>
      <c r="G5" s="115"/>
      <c r="H5" s="115"/>
      <c r="I5" s="115"/>
    </row>
    <row r="6" spans="2:9">
      <c r="B6" s="115"/>
      <c r="C6" s="115"/>
      <c r="D6" s="115"/>
      <c r="E6" s="115"/>
      <c r="F6" s="115"/>
      <c r="G6" s="115"/>
      <c r="H6" s="115"/>
      <c r="I6" s="115"/>
    </row>
    <row r="7" spans="2:9">
      <c r="B7" s="115"/>
      <c r="C7" s="115"/>
      <c r="D7" s="115"/>
      <c r="E7" s="115"/>
      <c r="F7" s="115"/>
      <c r="G7" s="115"/>
      <c r="H7" s="115"/>
      <c r="I7" s="115"/>
    </row>
    <row r="9" spans="2:9" ht="18">
      <c r="B9" s="2"/>
      <c r="C9" s="2"/>
      <c r="D9" s="114" t="s">
        <v>59</v>
      </c>
      <c r="E9" s="114"/>
      <c r="F9" s="114"/>
      <c r="G9" s="114"/>
      <c r="H9" s="2"/>
      <c r="I9" s="2"/>
    </row>
    <row r="10" spans="2:9" ht="105">
      <c r="B10" s="3"/>
      <c r="C10" s="3"/>
      <c r="D10" s="4" t="s">
        <v>1</v>
      </c>
      <c r="E10" s="4" t="s">
        <v>2</v>
      </c>
      <c r="F10" s="4" t="s">
        <v>3</v>
      </c>
      <c r="G10" s="4" t="s">
        <v>4</v>
      </c>
      <c r="H10" s="3"/>
      <c r="I10" s="3"/>
    </row>
    <row r="11" spans="2:9" ht="15.75">
      <c r="B11" s="5"/>
      <c r="C11" s="6"/>
      <c r="D11" s="7">
        <v>0.01</v>
      </c>
      <c r="E11" s="8">
        <v>4476.24</v>
      </c>
      <c r="F11" s="9">
        <v>0</v>
      </c>
      <c r="G11" s="10">
        <v>1.9199999999999998E-2</v>
      </c>
      <c r="H11" s="6"/>
    </row>
    <row r="12" spans="2:9" ht="15.75">
      <c r="B12" s="6"/>
      <c r="C12" s="6"/>
      <c r="D12" s="8">
        <v>4476.25</v>
      </c>
      <c r="E12" s="8">
        <v>37992.300000000003</v>
      </c>
      <c r="F12" s="7">
        <v>85.92</v>
      </c>
      <c r="G12" s="10">
        <v>6.4000000000000001E-2</v>
      </c>
      <c r="H12" s="6"/>
    </row>
    <row r="13" spans="2:9" ht="15.75">
      <c r="B13" s="6"/>
      <c r="C13" s="6"/>
      <c r="D13" s="8">
        <v>37992.310000000005</v>
      </c>
      <c r="E13" s="8">
        <v>66768.06</v>
      </c>
      <c r="F13" s="8">
        <v>2230.98</v>
      </c>
      <c r="G13" s="10">
        <v>0.10880000000000001</v>
      </c>
      <c r="H13" s="6"/>
    </row>
    <row r="14" spans="2:9" ht="15.75">
      <c r="B14" s="6"/>
      <c r="C14" s="6"/>
      <c r="D14" s="8">
        <v>66768.069999999992</v>
      </c>
      <c r="E14" s="8">
        <v>77614.92</v>
      </c>
      <c r="F14" s="8">
        <v>5361.78</v>
      </c>
      <c r="G14" s="10">
        <v>0.16</v>
      </c>
      <c r="H14" s="6"/>
    </row>
    <row r="15" spans="2:9" ht="15.75">
      <c r="B15" s="6"/>
      <c r="C15" s="6"/>
      <c r="D15" s="8">
        <v>77614.929999999993</v>
      </c>
      <c r="E15" s="8">
        <v>92926.26</v>
      </c>
      <c r="F15" s="8">
        <v>7097.2800000000007</v>
      </c>
      <c r="G15" s="10">
        <v>0.17920000000000003</v>
      </c>
      <c r="H15" s="6"/>
    </row>
    <row r="16" spans="2:9" ht="15.75">
      <c r="B16" s="6"/>
      <c r="C16" s="6"/>
      <c r="D16" s="8">
        <v>92926.26999999999</v>
      </c>
      <c r="E16" s="8">
        <v>187418.94</v>
      </c>
      <c r="F16" s="8">
        <v>9841.08</v>
      </c>
      <c r="G16" s="10">
        <v>0.21359999999999998</v>
      </c>
      <c r="H16" s="6"/>
    </row>
    <row r="17" spans="2:9" ht="15.75">
      <c r="B17" s="6"/>
      <c r="C17" s="6"/>
      <c r="D17" s="8">
        <v>187418.95</v>
      </c>
      <c r="E17" s="8">
        <v>295398</v>
      </c>
      <c r="F17" s="8">
        <v>30024.720000000001</v>
      </c>
      <c r="G17" s="10">
        <v>0.23519999999999999</v>
      </c>
      <c r="H17" s="6"/>
    </row>
    <row r="18" spans="2:9" ht="15.75">
      <c r="B18" s="6"/>
      <c r="C18" s="6"/>
      <c r="D18" s="8">
        <v>295398.01</v>
      </c>
      <c r="E18" s="8">
        <v>563963.39999999991</v>
      </c>
      <c r="F18" s="8">
        <v>55421.34</v>
      </c>
      <c r="G18" s="10">
        <v>0.3</v>
      </c>
      <c r="H18" s="6"/>
    </row>
    <row r="19" spans="2:9" ht="15.75">
      <c r="B19" s="6"/>
      <c r="C19" s="6"/>
      <c r="D19" s="8">
        <v>563963.40999999992</v>
      </c>
      <c r="E19" s="8">
        <v>751951.2</v>
      </c>
      <c r="F19" s="8">
        <v>135991.01999999999</v>
      </c>
      <c r="G19" s="10">
        <v>0.32</v>
      </c>
      <c r="H19" s="6"/>
    </row>
    <row r="20" spans="2:9" ht="15.75">
      <c r="B20" s="6"/>
      <c r="C20" s="6"/>
      <c r="D20" s="8">
        <v>751951.21</v>
      </c>
      <c r="E20" s="8">
        <v>2255853.66</v>
      </c>
      <c r="F20" s="8">
        <v>196147.08000000002</v>
      </c>
      <c r="G20" s="10">
        <v>0.34</v>
      </c>
      <c r="H20" s="6"/>
    </row>
    <row r="21" spans="2:9" ht="15.75">
      <c r="B21" s="6"/>
      <c r="C21" s="5"/>
      <c r="D21" s="8">
        <v>2255853.67</v>
      </c>
      <c r="E21" s="7" t="s">
        <v>5</v>
      </c>
      <c r="F21" s="8">
        <v>707473.92000000004</v>
      </c>
      <c r="G21" s="10">
        <v>0.35</v>
      </c>
      <c r="H21" s="5"/>
    </row>
    <row r="28" spans="2:9" ht="18">
      <c r="B28" s="2"/>
      <c r="C28" s="2"/>
      <c r="D28" s="114" t="s">
        <v>60</v>
      </c>
      <c r="E28" s="114"/>
      <c r="F28" s="114"/>
      <c r="G28" s="114"/>
      <c r="H28" s="2"/>
      <c r="I28" s="2"/>
    </row>
    <row r="29" spans="2:9" ht="105">
      <c r="B29" s="3"/>
      <c r="C29" s="3"/>
      <c r="D29" s="4" t="s">
        <v>1</v>
      </c>
      <c r="E29" s="4" t="s">
        <v>2</v>
      </c>
      <c r="F29" s="4" t="s">
        <v>3</v>
      </c>
      <c r="G29" s="4" t="s">
        <v>4</v>
      </c>
      <c r="H29" s="3"/>
      <c r="I29" s="3"/>
    </row>
    <row r="30" spans="2:9" ht="15.75">
      <c r="B30" s="5"/>
      <c r="C30" s="6"/>
      <c r="D30" s="7">
        <v>0.01</v>
      </c>
      <c r="E30" s="8">
        <v>8952.49</v>
      </c>
      <c r="F30" s="9">
        <v>0</v>
      </c>
      <c r="G30" s="10">
        <v>1.9199999999999998E-2</v>
      </c>
      <c r="H30" s="6"/>
      <c r="I30" s="3"/>
    </row>
    <row r="31" spans="2:9" ht="15.75">
      <c r="B31" s="6"/>
      <c r="C31" s="6"/>
      <c r="D31" s="8">
        <v>8952.5</v>
      </c>
      <c r="E31" s="8">
        <v>75984.600000000006</v>
      </c>
      <c r="F31" s="7">
        <v>171.88</v>
      </c>
      <c r="G31" s="10">
        <v>6.4000000000000001E-2</v>
      </c>
      <c r="H31" s="6"/>
      <c r="I31" s="3"/>
    </row>
    <row r="32" spans="2:9" ht="15.75">
      <c r="B32" s="6"/>
      <c r="C32" s="6"/>
      <c r="D32" s="8">
        <v>75984.61</v>
      </c>
      <c r="E32" s="8">
        <v>133536.12</v>
      </c>
      <c r="F32" s="8">
        <v>4461.9399999999996</v>
      </c>
      <c r="G32" s="10">
        <v>0.10880000000000001</v>
      </c>
      <c r="H32" s="6"/>
      <c r="I32" s="3"/>
    </row>
    <row r="33" spans="2:9" ht="15.75">
      <c r="B33" s="6"/>
      <c r="C33" s="6"/>
      <c r="D33" s="8">
        <v>133536.13</v>
      </c>
      <c r="E33" s="8">
        <v>155229.84</v>
      </c>
      <c r="F33" s="8">
        <v>10723.55</v>
      </c>
      <c r="G33" s="10">
        <v>0.16</v>
      </c>
      <c r="H33" s="6"/>
      <c r="I33" s="3"/>
    </row>
    <row r="34" spans="2:9" ht="15.75">
      <c r="B34" s="6"/>
      <c r="C34" s="6"/>
      <c r="D34" s="8">
        <v>155229.85</v>
      </c>
      <c r="E34" s="8">
        <v>185852.52</v>
      </c>
      <c r="F34" s="8">
        <v>14194.54</v>
      </c>
      <c r="G34" s="10">
        <v>0.17920000000000003</v>
      </c>
      <c r="H34" s="6"/>
      <c r="I34" s="3"/>
    </row>
    <row r="35" spans="2:9" ht="15.75">
      <c r="B35" s="6"/>
      <c r="C35" s="6"/>
      <c r="D35" s="8">
        <v>185852.53</v>
      </c>
      <c r="E35" s="8">
        <v>374837.88</v>
      </c>
      <c r="F35" s="8">
        <v>19682.13</v>
      </c>
      <c r="G35" s="10">
        <v>0.21359999999999998</v>
      </c>
      <c r="H35" s="6"/>
      <c r="I35" s="3"/>
    </row>
    <row r="36" spans="2:9" ht="15.75">
      <c r="B36" s="6"/>
      <c r="C36" s="6"/>
      <c r="D36" s="8">
        <v>374837.89</v>
      </c>
      <c r="E36" s="8">
        <v>590796</v>
      </c>
      <c r="F36" s="8">
        <v>60049.4</v>
      </c>
      <c r="G36" s="10">
        <v>0.23519999999999999</v>
      </c>
      <c r="H36" s="6"/>
      <c r="I36" s="3"/>
    </row>
    <row r="37" spans="2:9" ht="15.75">
      <c r="B37" s="6"/>
      <c r="C37" s="6"/>
      <c r="D37" s="8">
        <v>590796.01</v>
      </c>
      <c r="E37" s="8">
        <v>1127926.7999999998</v>
      </c>
      <c r="F37" s="8">
        <v>110842.74</v>
      </c>
      <c r="G37" s="10">
        <v>0.3</v>
      </c>
      <c r="H37" s="6"/>
      <c r="I37" s="3"/>
    </row>
    <row r="38" spans="2:9" ht="15.75">
      <c r="B38" s="6"/>
      <c r="C38" s="6"/>
      <c r="D38" s="8">
        <v>1127926.8099999998</v>
      </c>
      <c r="E38" s="8">
        <v>1503902.4</v>
      </c>
      <c r="F38" s="8">
        <v>271982.99</v>
      </c>
      <c r="G38" s="10">
        <v>0.32</v>
      </c>
      <c r="H38" s="6"/>
      <c r="I38" s="3"/>
    </row>
    <row r="39" spans="2:9" ht="15.75">
      <c r="B39" s="6"/>
      <c r="C39" s="6"/>
      <c r="D39" s="8">
        <v>1503902.41</v>
      </c>
      <c r="E39" s="8">
        <v>4511707.32</v>
      </c>
      <c r="F39" s="8">
        <v>392294.17</v>
      </c>
      <c r="G39" s="10">
        <v>0.34</v>
      </c>
      <c r="H39" s="6"/>
      <c r="I39" s="3"/>
    </row>
    <row r="40" spans="2:9" ht="15.75">
      <c r="B40" s="6"/>
      <c r="C40" s="5"/>
      <c r="D40" s="8">
        <v>4511707.33</v>
      </c>
      <c r="E40" s="7" t="s">
        <v>5</v>
      </c>
      <c r="F40" s="8">
        <v>1414947.85</v>
      </c>
      <c r="G40" s="10">
        <v>0.35</v>
      </c>
      <c r="H40" s="5"/>
      <c r="I40" s="3"/>
    </row>
    <row r="41" spans="2:9">
      <c r="I41" s="3"/>
    </row>
  </sheetData>
  <mergeCells count="3">
    <mergeCell ref="D9:G9"/>
    <mergeCell ref="D28:G28"/>
    <mergeCell ref="B4:I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69"/>
  <sheetViews>
    <sheetView showGridLines="0" workbookViewId="0">
      <selection activeCell="A4" sqref="A3:XFD4"/>
    </sheetView>
  </sheetViews>
  <sheetFormatPr baseColWidth="10" defaultRowHeight="15"/>
  <sheetData>
    <row r="5" spans="2:10" ht="23.25">
      <c r="B5" s="121" t="s">
        <v>54</v>
      </c>
      <c r="C5" s="121"/>
      <c r="D5" s="121"/>
      <c r="E5" s="121"/>
      <c r="F5" s="121"/>
      <c r="G5" s="121"/>
      <c r="H5" s="121"/>
      <c r="I5" s="121"/>
      <c r="J5" s="121"/>
    </row>
    <row r="7" spans="2:10" ht="18">
      <c r="D7" s="124" t="s">
        <v>77</v>
      </c>
      <c r="E7" s="124"/>
      <c r="F7" s="124"/>
      <c r="G7" s="124"/>
    </row>
    <row r="9" spans="2:10" ht="17.25">
      <c r="D9" s="122" t="s">
        <v>78</v>
      </c>
      <c r="E9" s="122"/>
      <c r="F9" s="122"/>
      <c r="G9" s="122"/>
    </row>
    <row r="10" spans="2:10" ht="105">
      <c r="D10" s="4" t="s">
        <v>1</v>
      </c>
      <c r="E10" s="4" t="s">
        <v>2</v>
      </c>
      <c r="F10" s="4" t="s">
        <v>3</v>
      </c>
      <c r="G10" s="4" t="s">
        <v>4</v>
      </c>
    </row>
    <row r="11" spans="2:10">
      <c r="D11" s="5">
        <v>0.01</v>
      </c>
      <c r="E11" s="6">
        <v>1492.08</v>
      </c>
      <c r="F11" s="19">
        <v>0</v>
      </c>
      <c r="G11" s="18">
        <v>1.9199999999999998E-2</v>
      </c>
    </row>
    <row r="12" spans="2:10">
      <c r="D12" s="6">
        <v>1492.09</v>
      </c>
      <c r="E12" s="6">
        <v>12664.1</v>
      </c>
      <c r="F12" s="5">
        <v>28.64</v>
      </c>
      <c r="G12" s="18">
        <v>6.4000000000000001E-2</v>
      </c>
    </row>
    <row r="13" spans="2:10">
      <c r="D13" s="6">
        <v>12664.11</v>
      </c>
      <c r="E13" s="6">
        <v>22256.02</v>
      </c>
      <c r="F13" s="5">
        <v>743.66</v>
      </c>
      <c r="G13" s="18">
        <v>0.10880000000000001</v>
      </c>
    </row>
    <row r="14" spans="2:10">
      <c r="D14" s="6">
        <v>22256.03</v>
      </c>
      <c r="E14" s="6">
        <v>25871.64</v>
      </c>
      <c r="F14" s="6">
        <v>1787.26</v>
      </c>
      <c r="G14" s="18">
        <v>0.16</v>
      </c>
    </row>
    <row r="15" spans="2:10">
      <c r="D15" s="6">
        <v>25871.649999999998</v>
      </c>
      <c r="E15" s="6">
        <v>30975.42</v>
      </c>
      <c r="F15" s="6">
        <v>2365.7600000000002</v>
      </c>
      <c r="G15" s="18">
        <v>0.17920000000000003</v>
      </c>
    </row>
    <row r="16" spans="2:10">
      <c r="D16" s="6">
        <v>30975.429999999997</v>
      </c>
      <c r="E16" s="6">
        <v>62472.98</v>
      </c>
      <c r="F16" s="6">
        <v>3280.36</v>
      </c>
      <c r="G16" s="18">
        <v>0.21359999999999998</v>
      </c>
    </row>
    <row r="17" spans="2:10">
      <c r="D17" s="6">
        <v>62472.990000000005</v>
      </c>
      <c r="E17" s="6">
        <v>98466</v>
      </c>
      <c r="F17" s="6">
        <v>10008.24</v>
      </c>
      <c r="G17" s="18">
        <v>0.23519999999999999</v>
      </c>
    </row>
    <row r="18" spans="2:10">
      <c r="D18" s="6">
        <v>98466.01</v>
      </c>
      <c r="E18" s="6">
        <v>187987.8</v>
      </c>
      <c r="F18" s="6">
        <v>18473.78</v>
      </c>
      <c r="G18" s="18">
        <v>0.3</v>
      </c>
    </row>
    <row r="19" spans="2:10">
      <c r="D19" s="6">
        <v>187987.81</v>
      </c>
      <c r="E19" s="6">
        <v>250650.4</v>
      </c>
      <c r="F19" s="6">
        <v>45330.34</v>
      </c>
      <c r="G19" s="18">
        <v>0.32</v>
      </c>
    </row>
    <row r="20" spans="2:10">
      <c r="D20" s="6">
        <v>250650.41</v>
      </c>
      <c r="E20" s="6">
        <v>751951.22</v>
      </c>
      <c r="F20" s="6">
        <v>65382.36</v>
      </c>
      <c r="G20" s="18">
        <v>0.34</v>
      </c>
    </row>
    <row r="21" spans="2:10">
      <c r="D21" s="6">
        <v>751951.23</v>
      </c>
      <c r="E21" s="5" t="s">
        <v>5</v>
      </c>
      <c r="F21" s="6">
        <v>235824.64000000001</v>
      </c>
      <c r="G21" s="18">
        <v>0.35</v>
      </c>
    </row>
    <row r="23" spans="2:10" ht="18">
      <c r="D23" s="124" t="s">
        <v>62</v>
      </c>
      <c r="E23" s="124"/>
      <c r="F23" s="124"/>
      <c r="G23" s="124"/>
    </row>
    <row r="24" spans="2:10" ht="18">
      <c r="D24" s="32"/>
      <c r="E24" s="32"/>
      <c r="F24" s="32"/>
      <c r="G24" s="32"/>
    </row>
    <row r="25" spans="2:10" ht="17.25">
      <c r="B25" s="122" t="s">
        <v>61</v>
      </c>
      <c r="C25" s="122"/>
      <c r="D25" s="122"/>
      <c r="E25" s="122"/>
      <c r="G25" s="122" t="s">
        <v>63</v>
      </c>
      <c r="H25" s="122"/>
      <c r="I25" s="122"/>
      <c r="J25" s="122"/>
    </row>
    <row r="26" spans="2:10" ht="105">
      <c r="B26" s="4" t="s">
        <v>1</v>
      </c>
      <c r="C26" s="4" t="s">
        <v>2</v>
      </c>
      <c r="D26" s="4" t="s">
        <v>3</v>
      </c>
      <c r="E26" s="4" t="s">
        <v>4</v>
      </c>
      <c r="G26" s="4" t="s">
        <v>1</v>
      </c>
      <c r="H26" s="4" t="s">
        <v>2</v>
      </c>
      <c r="I26" s="4" t="s">
        <v>3</v>
      </c>
      <c r="J26" s="4" t="s">
        <v>4</v>
      </c>
    </row>
    <row r="27" spans="2:10">
      <c r="B27" s="5">
        <v>0.01</v>
      </c>
      <c r="C27" s="6">
        <v>1492.08</v>
      </c>
      <c r="D27" s="19">
        <v>0</v>
      </c>
      <c r="E27" s="18">
        <v>1.9199999999999998E-2</v>
      </c>
      <c r="G27" s="5">
        <v>0.01</v>
      </c>
      <c r="H27" s="6">
        <v>2984.16</v>
      </c>
      <c r="I27" s="19">
        <v>0</v>
      </c>
      <c r="J27" s="18">
        <v>1.9199999999999998E-2</v>
      </c>
    </row>
    <row r="28" spans="2:10">
      <c r="B28" s="6">
        <v>1492.09</v>
      </c>
      <c r="C28" s="6">
        <v>12664.1</v>
      </c>
      <c r="D28" s="5">
        <v>28.64</v>
      </c>
      <c r="E28" s="18">
        <v>6.4000000000000001E-2</v>
      </c>
      <c r="G28" s="6">
        <v>2984.17</v>
      </c>
      <c r="H28" s="6">
        <v>25328.2</v>
      </c>
      <c r="I28" s="5">
        <v>57.28</v>
      </c>
      <c r="J28" s="18">
        <v>6.4000000000000001E-2</v>
      </c>
    </row>
    <row r="29" spans="2:10">
      <c r="B29" s="6">
        <v>12664.11</v>
      </c>
      <c r="C29" s="6">
        <v>22256.02</v>
      </c>
      <c r="D29" s="5">
        <v>743.66</v>
      </c>
      <c r="E29" s="18">
        <v>0.10880000000000001</v>
      </c>
      <c r="G29" s="6">
        <v>25328.21</v>
      </c>
      <c r="H29" s="6">
        <v>44512.04</v>
      </c>
      <c r="I29" s="6">
        <v>1487.32</v>
      </c>
      <c r="J29" s="18">
        <v>0.10880000000000001</v>
      </c>
    </row>
    <row r="30" spans="2:10">
      <c r="B30" s="6">
        <v>22256.03</v>
      </c>
      <c r="C30" s="6">
        <v>25871.64</v>
      </c>
      <c r="D30" s="6">
        <v>1787.26</v>
      </c>
      <c r="E30" s="18">
        <v>0.16</v>
      </c>
      <c r="G30" s="6">
        <v>44512.05</v>
      </c>
      <c r="H30" s="6">
        <v>51743.28</v>
      </c>
      <c r="I30" s="6">
        <v>3574.52</v>
      </c>
      <c r="J30" s="18">
        <v>0.16</v>
      </c>
    </row>
    <row r="31" spans="2:10">
      <c r="B31" s="6">
        <v>25871.649999999998</v>
      </c>
      <c r="C31" s="6">
        <v>30975.42</v>
      </c>
      <c r="D31" s="6">
        <v>2365.7600000000002</v>
      </c>
      <c r="E31" s="18">
        <v>0.17920000000000003</v>
      </c>
      <c r="G31" s="6">
        <v>51743.29</v>
      </c>
      <c r="H31" s="6">
        <v>61950.84</v>
      </c>
      <c r="I31" s="6">
        <v>4731.5200000000004</v>
      </c>
      <c r="J31" s="18">
        <v>0.17920000000000003</v>
      </c>
    </row>
    <row r="32" spans="2:10">
      <c r="B32" s="6">
        <v>30975.429999999997</v>
      </c>
      <c r="C32" s="6">
        <v>62472.98</v>
      </c>
      <c r="D32" s="6">
        <v>3280.36</v>
      </c>
      <c r="E32" s="18">
        <v>0.21359999999999998</v>
      </c>
      <c r="G32" s="6">
        <v>61950.85</v>
      </c>
      <c r="H32" s="6">
        <v>124945.96</v>
      </c>
      <c r="I32" s="6">
        <v>6560.72</v>
      </c>
      <c r="J32" s="18">
        <v>0.21359999999999998</v>
      </c>
    </row>
    <row r="33" spans="2:10">
      <c r="B33" s="6">
        <v>62472.990000000005</v>
      </c>
      <c r="C33" s="6">
        <v>98466</v>
      </c>
      <c r="D33" s="6">
        <v>10008.24</v>
      </c>
      <c r="E33" s="18">
        <v>0.23519999999999999</v>
      </c>
      <c r="G33" s="6">
        <v>124945.97</v>
      </c>
      <c r="H33" s="6">
        <v>196932</v>
      </c>
      <c r="I33" s="6">
        <v>20016.48</v>
      </c>
      <c r="J33" s="18">
        <v>0.23519999999999999</v>
      </c>
    </row>
    <row r="34" spans="2:10">
      <c r="B34" s="6">
        <v>98466.01</v>
      </c>
      <c r="C34" s="6">
        <v>187987.8</v>
      </c>
      <c r="D34" s="6">
        <v>18473.78</v>
      </c>
      <c r="E34" s="18">
        <v>0.3</v>
      </c>
      <c r="G34" s="6">
        <v>196932.01</v>
      </c>
      <c r="H34" s="6">
        <v>375975.6</v>
      </c>
      <c r="I34" s="6">
        <v>36947.56</v>
      </c>
      <c r="J34" s="18">
        <v>0.3</v>
      </c>
    </row>
    <row r="35" spans="2:10">
      <c r="B35" s="6">
        <v>187987.81</v>
      </c>
      <c r="C35" s="6">
        <v>250650.4</v>
      </c>
      <c r="D35" s="6">
        <v>45330.34</v>
      </c>
      <c r="E35" s="18">
        <v>0.32</v>
      </c>
      <c r="G35" s="6">
        <v>375975.61</v>
      </c>
      <c r="H35" s="6">
        <v>501300.8</v>
      </c>
      <c r="I35" s="6">
        <v>90660.68</v>
      </c>
      <c r="J35" s="18">
        <v>0.32</v>
      </c>
    </row>
    <row r="36" spans="2:10">
      <c r="B36" s="6">
        <v>250650.41</v>
      </c>
      <c r="C36" s="6">
        <v>751951.22</v>
      </c>
      <c r="D36" s="6">
        <v>65382.36</v>
      </c>
      <c r="E36" s="18">
        <v>0.34</v>
      </c>
      <c r="G36" s="6">
        <v>501300.81</v>
      </c>
      <c r="H36" s="6">
        <v>1503902.44</v>
      </c>
      <c r="I36" s="6">
        <v>130764.72</v>
      </c>
      <c r="J36" s="18">
        <v>0.34</v>
      </c>
    </row>
    <row r="37" spans="2:10">
      <c r="B37" s="6">
        <v>751951.23</v>
      </c>
      <c r="C37" s="5" t="s">
        <v>5</v>
      </c>
      <c r="D37" s="6">
        <v>235824.64000000001</v>
      </c>
      <c r="E37" s="18">
        <v>0.35</v>
      </c>
      <c r="G37" s="6">
        <v>1503902.45</v>
      </c>
      <c r="H37" s="5" t="s">
        <v>5</v>
      </c>
      <c r="I37" s="6">
        <v>471649.28000000003</v>
      </c>
      <c r="J37" s="18">
        <v>0.35</v>
      </c>
    </row>
    <row r="41" spans="2:10" ht="17.25">
      <c r="B41" s="122" t="s">
        <v>64</v>
      </c>
      <c r="C41" s="122"/>
      <c r="D41" s="122"/>
      <c r="E41" s="122"/>
      <c r="G41" s="122" t="s">
        <v>65</v>
      </c>
      <c r="H41" s="122"/>
      <c r="I41" s="122"/>
      <c r="J41" s="122"/>
    </row>
    <row r="42" spans="2:10" ht="105">
      <c r="B42" s="4" t="s">
        <v>1</v>
      </c>
      <c r="C42" s="4" t="s">
        <v>2</v>
      </c>
      <c r="D42" s="4" t="s">
        <v>3</v>
      </c>
      <c r="E42" s="4" t="s">
        <v>4</v>
      </c>
      <c r="G42" s="4" t="s">
        <v>1</v>
      </c>
      <c r="H42" s="4" t="s">
        <v>2</v>
      </c>
      <c r="I42" s="4" t="s">
        <v>3</v>
      </c>
      <c r="J42" s="4" t="s">
        <v>4</v>
      </c>
    </row>
    <row r="43" spans="2:10">
      <c r="B43" s="5">
        <v>0.01</v>
      </c>
      <c r="C43" s="6">
        <v>4476.24</v>
      </c>
      <c r="D43" s="19">
        <v>0</v>
      </c>
      <c r="E43" s="18">
        <v>1.9199999999999998E-2</v>
      </c>
      <c r="G43" s="5">
        <v>0.01</v>
      </c>
      <c r="H43" s="6">
        <v>5968.32</v>
      </c>
      <c r="I43" s="19">
        <v>0</v>
      </c>
      <c r="J43" s="18">
        <v>1.9199999999999998E-2</v>
      </c>
    </row>
    <row r="44" spans="2:10">
      <c r="B44" s="6">
        <v>4476.25</v>
      </c>
      <c r="C44" s="6">
        <v>37992.300000000003</v>
      </c>
      <c r="D44" s="5">
        <v>85.92</v>
      </c>
      <c r="E44" s="18">
        <v>6.4000000000000001E-2</v>
      </c>
      <c r="G44" s="6">
        <v>5968.33</v>
      </c>
      <c r="H44" s="6">
        <v>50656.4</v>
      </c>
      <c r="I44" s="5">
        <v>114.56</v>
      </c>
      <c r="J44" s="18">
        <v>6.4000000000000001E-2</v>
      </c>
    </row>
    <row r="45" spans="2:10">
      <c r="B45" s="6">
        <v>37992.310000000005</v>
      </c>
      <c r="C45" s="6">
        <v>66768.06</v>
      </c>
      <c r="D45" s="6">
        <v>2230.98</v>
      </c>
      <c r="E45" s="18">
        <v>0.10880000000000001</v>
      </c>
      <c r="G45" s="6">
        <v>50656.41</v>
      </c>
      <c r="H45" s="6">
        <v>89024.08</v>
      </c>
      <c r="I45" s="6">
        <v>2974.64</v>
      </c>
      <c r="J45" s="18">
        <v>0.10880000000000001</v>
      </c>
    </row>
    <row r="46" spans="2:10">
      <c r="B46" s="6">
        <v>66768.069999999992</v>
      </c>
      <c r="C46" s="6">
        <v>77614.92</v>
      </c>
      <c r="D46" s="6">
        <v>5361.78</v>
      </c>
      <c r="E46" s="18">
        <v>0.16</v>
      </c>
      <c r="G46" s="6">
        <v>89024.09</v>
      </c>
      <c r="H46" s="6">
        <v>103486.56</v>
      </c>
      <c r="I46" s="6">
        <v>7149.04</v>
      </c>
      <c r="J46" s="18">
        <v>0.16</v>
      </c>
    </row>
    <row r="47" spans="2:10">
      <c r="B47" s="6">
        <v>77614.929999999993</v>
      </c>
      <c r="C47" s="6">
        <v>92926.26</v>
      </c>
      <c r="D47" s="6">
        <v>7097.2800000000007</v>
      </c>
      <c r="E47" s="18">
        <v>0.17920000000000003</v>
      </c>
      <c r="G47" s="6">
        <v>103486.56999999999</v>
      </c>
      <c r="H47" s="6">
        <v>123901.68</v>
      </c>
      <c r="I47" s="6">
        <v>9463.0400000000009</v>
      </c>
      <c r="J47" s="18">
        <v>0.17920000000000003</v>
      </c>
    </row>
    <row r="48" spans="2:10">
      <c r="B48" s="6">
        <v>92926.26999999999</v>
      </c>
      <c r="C48" s="6">
        <v>187418.94</v>
      </c>
      <c r="D48" s="6">
        <v>9841.08</v>
      </c>
      <c r="E48" s="18">
        <v>0.21359999999999998</v>
      </c>
      <c r="G48" s="6">
        <v>123901.68999999999</v>
      </c>
      <c r="H48" s="6">
        <v>249891.92</v>
      </c>
      <c r="I48" s="6">
        <v>13121.44</v>
      </c>
      <c r="J48" s="18">
        <v>0.21359999999999998</v>
      </c>
    </row>
    <row r="49" spans="2:10">
      <c r="B49" s="6">
        <v>187418.95</v>
      </c>
      <c r="C49" s="6">
        <v>295398</v>
      </c>
      <c r="D49" s="6">
        <v>30024.720000000001</v>
      </c>
      <c r="E49" s="18">
        <v>0.23519999999999999</v>
      </c>
      <c r="G49" s="6">
        <v>249891.93000000002</v>
      </c>
      <c r="H49" s="6">
        <v>393864</v>
      </c>
      <c r="I49" s="6">
        <v>40032.959999999999</v>
      </c>
      <c r="J49" s="18">
        <v>0.23519999999999999</v>
      </c>
    </row>
    <row r="50" spans="2:10">
      <c r="B50" s="6">
        <v>295398.01</v>
      </c>
      <c r="C50" s="6">
        <v>563963.39999999991</v>
      </c>
      <c r="D50" s="6">
        <v>55421.34</v>
      </c>
      <c r="E50" s="18">
        <v>0.3</v>
      </c>
      <c r="G50" s="6">
        <v>393864.01</v>
      </c>
      <c r="H50" s="6">
        <v>751951.2</v>
      </c>
      <c r="I50" s="6">
        <v>73895.12</v>
      </c>
      <c r="J50" s="18">
        <v>0.3</v>
      </c>
    </row>
    <row r="51" spans="2:10">
      <c r="B51" s="6">
        <v>563963.40999999992</v>
      </c>
      <c r="C51" s="6">
        <v>751951.2</v>
      </c>
      <c r="D51" s="6">
        <v>135991.01999999999</v>
      </c>
      <c r="E51" s="18">
        <v>0.32</v>
      </c>
      <c r="G51" s="6">
        <v>751951.21</v>
      </c>
      <c r="H51" s="6">
        <v>1002601.6</v>
      </c>
      <c r="I51" s="6">
        <v>181321.36</v>
      </c>
      <c r="J51" s="18">
        <v>0.32</v>
      </c>
    </row>
    <row r="52" spans="2:10">
      <c r="B52" s="6">
        <v>751951.21</v>
      </c>
      <c r="C52" s="6">
        <v>2255853.66</v>
      </c>
      <c r="D52" s="6">
        <v>196147.08000000002</v>
      </c>
      <c r="E52" s="18">
        <v>0.34</v>
      </c>
      <c r="G52" s="6">
        <v>1002601.61</v>
      </c>
      <c r="H52" s="6">
        <v>3007804.88</v>
      </c>
      <c r="I52" s="6">
        <v>261529.44</v>
      </c>
      <c r="J52" s="18">
        <v>0.34</v>
      </c>
    </row>
    <row r="53" spans="2:10">
      <c r="B53" s="6">
        <v>2255853.67</v>
      </c>
      <c r="C53" s="5" t="s">
        <v>5</v>
      </c>
      <c r="D53" s="6">
        <v>707473.92000000004</v>
      </c>
      <c r="E53" s="18">
        <v>0.35</v>
      </c>
      <c r="G53" s="6">
        <v>3007804.8899999997</v>
      </c>
      <c r="H53" s="5" t="s">
        <v>5</v>
      </c>
      <c r="I53" s="6">
        <v>943298.56000000006</v>
      </c>
      <c r="J53" s="18">
        <v>0.35</v>
      </c>
    </row>
    <row r="57" spans="2:10" ht="17.25">
      <c r="B57" s="122" t="s">
        <v>66</v>
      </c>
      <c r="C57" s="122"/>
      <c r="D57" s="122"/>
      <c r="E57" s="122"/>
      <c r="G57" s="122" t="s">
        <v>67</v>
      </c>
      <c r="H57" s="122"/>
      <c r="I57" s="122"/>
      <c r="J57" s="122"/>
    </row>
    <row r="58" spans="2:10" ht="105">
      <c r="B58" s="4" t="s">
        <v>1</v>
      </c>
      <c r="C58" s="4" t="s">
        <v>2</v>
      </c>
      <c r="D58" s="4" t="s">
        <v>3</v>
      </c>
      <c r="E58" s="4" t="s">
        <v>4</v>
      </c>
      <c r="G58" s="4" t="s">
        <v>1</v>
      </c>
      <c r="H58" s="4" t="s">
        <v>2</v>
      </c>
      <c r="I58" s="4" t="s">
        <v>3</v>
      </c>
      <c r="J58" s="4" t="s">
        <v>4</v>
      </c>
    </row>
    <row r="59" spans="2:10">
      <c r="B59" s="5">
        <v>0.01</v>
      </c>
      <c r="C59" s="6">
        <v>7460.4</v>
      </c>
      <c r="D59" s="19">
        <v>0</v>
      </c>
      <c r="E59" s="18">
        <v>1.9199999999999998E-2</v>
      </c>
      <c r="G59" s="5">
        <v>0.01</v>
      </c>
      <c r="H59" s="6">
        <v>8952.49</v>
      </c>
      <c r="I59" s="19">
        <v>0</v>
      </c>
      <c r="J59" s="18">
        <v>1.9199999999999998E-2</v>
      </c>
    </row>
    <row r="60" spans="2:10">
      <c r="B60" s="6">
        <v>7460.41</v>
      </c>
      <c r="C60" s="6">
        <v>63320.5</v>
      </c>
      <c r="D60" s="5">
        <v>143.19999999999999</v>
      </c>
      <c r="E60" s="18">
        <v>6.4000000000000001E-2</v>
      </c>
      <c r="G60" s="6">
        <v>8952.5</v>
      </c>
      <c r="H60" s="6">
        <v>75984.600000000006</v>
      </c>
      <c r="I60" s="5">
        <v>171.88</v>
      </c>
      <c r="J60" s="18">
        <v>6.4000000000000001E-2</v>
      </c>
    </row>
    <row r="61" spans="2:10">
      <c r="B61" s="6">
        <v>63320.51</v>
      </c>
      <c r="C61" s="6">
        <v>111280.1</v>
      </c>
      <c r="D61" s="6">
        <v>3718.2999999999997</v>
      </c>
      <c r="E61" s="18">
        <v>0.10880000000000001</v>
      </c>
      <c r="G61" s="6">
        <v>75984.61</v>
      </c>
      <c r="H61" s="6">
        <v>133536.12</v>
      </c>
      <c r="I61" s="6">
        <v>4461.9399999999996</v>
      </c>
      <c r="J61" s="18">
        <v>0.10880000000000001</v>
      </c>
    </row>
    <row r="62" spans="2:10">
      <c r="B62" s="6">
        <v>111280.11</v>
      </c>
      <c r="C62" s="6">
        <v>129358.2</v>
      </c>
      <c r="D62" s="6">
        <v>8936.2999999999993</v>
      </c>
      <c r="E62" s="18">
        <v>0.16</v>
      </c>
      <c r="G62" s="6">
        <v>133536.13</v>
      </c>
      <c r="H62" s="6">
        <v>155229.84</v>
      </c>
      <c r="I62" s="6">
        <v>10723.55</v>
      </c>
      <c r="J62" s="18">
        <v>0.16</v>
      </c>
    </row>
    <row r="63" spans="2:10">
      <c r="B63" s="6">
        <v>129358.20999999999</v>
      </c>
      <c r="C63" s="6">
        <v>154877.09999999998</v>
      </c>
      <c r="D63" s="6">
        <v>11828.800000000001</v>
      </c>
      <c r="E63" s="18">
        <v>0.17920000000000003</v>
      </c>
      <c r="G63" s="6">
        <v>155229.85</v>
      </c>
      <c r="H63" s="6">
        <v>185852.52</v>
      </c>
      <c r="I63" s="6">
        <v>14194.54</v>
      </c>
      <c r="J63" s="18">
        <v>0.17920000000000003</v>
      </c>
    </row>
    <row r="64" spans="2:10">
      <c r="B64" s="6">
        <v>154877.10999999999</v>
      </c>
      <c r="C64" s="6">
        <v>312364.90000000002</v>
      </c>
      <c r="D64" s="6">
        <v>16401.8</v>
      </c>
      <c r="E64" s="18">
        <v>0.21359999999999998</v>
      </c>
      <c r="G64" s="6">
        <v>185852.53</v>
      </c>
      <c r="H64" s="6">
        <v>374837.88</v>
      </c>
      <c r="I64" s="6">
        <v>19682.13</v>
      </c>
      <c r="J64" s="18">
        <v>0.21359999999999998</v>
      </c>
    </row>
    <row r="65" spans="2:10">
      <c r="B65" s="6">
        <v>312364.91000000003</v>
      </c>
      <c r="C65" s="6">
        <v>492330</v>
      </c>
      <c r="D65" s="6">
        <v>50041.2</v>
      </c>
      <c r="E65" s="18">
        <v>0.23519999999999999</v>
      </c>
      <c r="G65" s="6">
        <v>374837.89</v>
      </c>
      <c r="H65" s="6">
        <v>590796</v>
      </c>
      <c r="I65" s="6">
        <v>60049.4</v>
      </c>
      <c r="J65" s="18">
        <v>0.23519999999999999</v>
      </c>
    </row>
    <row r="66" spans="2:10">
      <c r="B66" s="6">
        <v>492330.01</v>
      </c>
      <c r="C66" s="6">
        <v>939939</v>
      </c>
      <c r="D66" s="6">
        <v>92368.9</v>
      </c>
      <c r="E66" s="18">
        <v>0.3</v>
      </c>
      <c r="G66" s="6">
        <v>590796.01</v>
      </c>
      <c r="H66" s="6">
        <v>1127926.7999999998</v>
      </c>
      <c r="I66" s="6">
        <v>110842.74</v>
      </c>
      <c r="J66" s="18">
        <v>0.3</v>
      </c>
    </row>
    <row r="67" spans="2:10">
      <c r="B67" s="6">
        <v>939939.01</v>
      </c>
      <c r="C67" s="6">
        <v>1253252</v>
      </c>
      <c r="D67" s="6">
        <v>226651.69999999998</v>
      </c>
      <c r="E67" s="18">
        <v>0.32</v>
      </c>
      <c r="G67" s="6">
        <v>1127926.8099999998</v>
      </c>
      <c r="H67" s="6">
        <v>1503902.4</v>
      </c>
      <c r="I67" s="6">
        <v>271981.99</v>
      </c>
      <c r="J67" s="18">
        <v>0.32</v>
      </c>
    </row>
    <row r="68" spans="2:10">
      <c r="B68" s="6">
        <v>1253252.01</v>
      </c>
      <c r="C68" s="6">
        <v>3759756.0999999996</v>
      </c>
      <c r="D68" s="6">
        <v>326911.8</v>
      </c>
      <c r="E68" s="18">
        <v>0.34</v>
      </c>
      <c r="G68" s="6">
        <v>1503902.41</v>
      </c>
      <c r="H68" s="6">
        <v>4511707.32</v>
      </c>
      <c r="I68" s="6">
        <v>392294.17</v>
      </c>
      <c r="J68" s="18">
        <v>0.34</v>
      </c>
    </row>
    <row r="69" spans="2:10">
      <c r="B69" s="6">
        <v>3759756.1099999994</v>
      </c>
      <c r="C69" s="5" t="s">
        <v>5</v>
      </c>
      <c r="D69" s="6">
        <v>1179123.2000000002</v>
      </c>
      <c r="E69" s="18">
        <v>0.35</v>
      </c>
      <c r="G69" s="6">
        <v>4511707.33</v>
      </c>
      <c r="H69" s="5" t="s">
        <v>5</v>
      </c>
      <c r="I69" s="6">
        <v>1414947.85</v>
      </c>
      <c r="J69" s="18">
        <v>0.35</v>
      </c>
    </row>
  </sheetData>
  <mergeCells count="10">
    <mergeCell ref="B57:E57"/>
    <mergeCell ref="G57:J57"/>
    <mergeCell ref="D7:G7"/>
    <mergeCell ref="D9:G9"/>
    <mergeCell ref="B5:J5"/>
    <mergeCell ref="B25:E25"/>
    <mergeCell ref="D23:G23"/>
    <mergeCell ref="G25:J25"/>
    <mergeCell ref="B41:E41"/>
    <mergeCell ref="G41:J4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22"/>
  <sheetViews>
    <sheetView showGridLines="0" workbookViewId="0">
      <selection activeCell="C11" sqref="C11"/>
    </sheetView>
  </sheetViews>
  <sheetFormatPr baseColWidth="10" defaultRowHeight="15"/>
  <sheetData>
    <row r="5" spans="2:9" ht="23.25">
      <c r="B5" s="115" t="s">
        <v>70</v>
      </c>
      <c r="C5" s="115"/>
      <c r="D5" s="115"/>
      <c r="E5" s="115"/>
      <c r="F5" s="115"/>
      <c r="G5" s="115"/>
      <c r="H5" s="115"/>
      <c r="I5" s="115"/>
    </row>
    <row r="10" spans="2:9" ht="18">
      <c r="B10" s="2"/>
      <c r="C10" s="2"/>
      <c r="D10" s="125" t="s">
        <v>68</v>
      </c>
      <c r="E10" s="125"/>
      <c r="F10" s="125"/>
      <c r="G10" s="125"/>
      <c r="H10" s="2"/>
      <c r="I10" s="2"/>
    </row>
    <row r="11" spans="2:9" ht="105">
      <c r="B11" s="3"/>
      <c r="C11" s="3"/>
      <c r="D11" s="4" t="s">
        <v>1</v>
      </c>
      <c r="E11" s="4" t="s">
        <v>2</v>
      </c>
      <c r="F11" s="4" t="s">
        <v>3</v>
      </c>
      <c r="G11" s="4" t="s">
        <v>69</v>
      </c>
      <c r="H11" s="3"/>
      <c r="I11" s="3"/>
    </row>
    <row r="12" spans="2:9">
      <c r="B12" s="5"/>
      <c r="C12" s="6"/>
      <c r="D12" s="5">
        <v>0.01</v>
      </c>
      <c r="E12" s="6">
        <v>8952.49</v>
      </c>
      <c r="F12" s="19">
        <v>0</v>
      </c>
      <c r="G12" s="18">
        <v>1.9199999999999998E-2</v>
      </c>
      <c r="H12" s="3"/>
      <c r="I12" s="3"/>
    </row>
    <row r="13" spans="2:9">
      <c r="B13" s="6"/>
      <c r="C13" s="6"/>
      <c r="D13" s="6">
        <v>8952.5</v>
      </c>
      <c r="E13" s="6">
        <v>75984.600000000006</v>
      </c>
      <c r="F13" s="5">
        <v>171.88</v>
      </c>
      <c r="G13" s="18">
        <v>6.4000000000000001E-2</v>
      </c>
      <c r="H13" s="3"/>
      <c r="I13" s="3"/>
    </row>
    <row r="14" spans="2:9">
      <c r="B14" s="6"/>
      <c r="C14" s="6"/>
      <c r="D14" s="6">
        <v>75984.61</v>
      </c>
      <c r="E14" s="6">
        <v>133536.12</v>
      </c>
      <c r="F14" s="6">
        <v>4461.9399999999996</v>
      </c>
      <c r="G14" s="18">
        <v>0.10880000000000001</v>
      </c>
      <c r="H14" s="3"/>
      <c r="I14" s="3"/>
    </row>
    <row r="15" spans="2:9">
      <c r="B15" s="6"/>
      <c r="C15" s="6"/>
      <c r="D15" s="6">
        <v>133536.13</v>
      </c>
      <c r="E15" s="6">
        <v>155229.84</v>
      </c>
      <c r="F15" s="6">
        <v>10723.55</v>
      </c>
      <c r="G15" s="18">
        <v>0.16</v>
      </c>
      <c r="H15" s="3"/>
      <c r="I15" s="3"/>
    </row>
    <row r="16" spans="2:9">
      <c r="B16" s="6"/>
      <c r="C16" s="6"/>
      <c r="D16" s="6">
        <v>155229.85</v>
      </c>
      <c r="E16" s="6">
        <v>185852.52</v>
      </c>
      <c r="F16" s="6">
        <v>14194.54</v>
      </c>
      <c r="G16" s="18">
        <v>0.17920000000000003</v>
      </c>
      <c r="H16" s="3"/>
      <c r="I16" s="3"/>
    </row>
    <row r="17" spans="2:9">
      <c r="B17" s="6"/>
      <c r="C17" s="6"/>
      <c r="D17" s="6">
        <v>185852.53</v>
      </c>
      <c r="E17" s="6">
        <v>374837.88</v>
      </c>
      <c r="F17" s="6">
        <v>19682.13</v>
      </c>
      <c r="G17" s="18">
        <v>0.21359999999999998</v>
      </c>
      <c r="H17" s="3"/>
      <c r="I17" s="3"/>
    </row>
    <row r="18" spans="2:9">
      <c r="B18" s="6"/>
      <c r="C18" s="6"/>
      <c r="D18" s="6">
        <v>374837.89</v>
      </c>
      <c r="E18" s="6">
        <v>590796</v>
      </c>
      <c r="F18" s="6">
        <v>60049.4</v>
      </c>
      <c r="G18" s="18">
        <v>0.23519999999999999</v>
      </c>
      <c r="H18" s="3"/>
      <c r="I18" s="3"/>
    </row>
    <row r="19" spans="2:9">
      <c r="B19" s="6"/>
      <c r="C19" s="6"/>
      <c r="D19" s="6">
        <v>590796.01</v>
      </c>
      <c r="E19" s="6">
        <v>1127926.7999999998</v>
      </c>
      <c r="F19" s="6">
        <v>110842.74</v>
      </c>
      <c r="G19" s="18">
        <v>0.3</v>
      </c>
      <c r="H19" s="3"/>
      <c r="I19" s="3"/>
    </row>
    <row r="20" spans="2:9">
      <c r="B20" s="6"/>
      <c r="C20" s="6"/>
      <c r="D20" s="6">
        <v>1127926.8099999998</v>
      </c>
      <c r="E20" s="6">
        <v>1503902.4</v>
      </c>
      <c r="F20" s="6">
        <v>271981.99</v>
      </c>
      <c r="G20" s="18">
        <v>0.32</v>
      </c>
      <c r="H20" s="3"/>
      <c r="I20" s="3"/>
    </row>
    <row r="21" spans="2:9">
      <c r="B21" s="6"/>
      <c r="C21" s="6"/>
      <c r="D21" s="6">
        <v>1503902.41</v>
      </c>
      <c r="E21" s="6">
        <v>4511707.32</v>
      </c>
      <c r="F21" s="6">
        <v>392294.17</v>
      </c>
      <c r="G21" s="18">
        <v>0.34</v>
      </c>
      <c r="H21" s="3"/>
      <c r="I21" s="3"/>
    </row>
    <row r="22" spans="2:9">
      <c r="B22" s="6"/>
      <c r="C22" s="5"/>
      <c r="D22" s="6">
        <v>4511707.33</v>
      </c>
      <c r="E22" s="5" t="s">
        <v>5</v>
      </c>
      <c r="F22" s="6">
        <v>1414947.85</v>
      </c>
      <c r="G22" s="18">
        <v>0.35</v>
      </c>
      <c r="H22" s="3"/>
      <c r="I22" s="3"/>
    </row>
  </sheetData>
  <mergeCells count="2">
    <mergeCell ref="B5:I5"/>
    <mergeCell ref="D10:G1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3"/>
  <sheetViews>
    <sheetView showGridLines="0" zoomScaleNormal="100" workbookViewId="0">
      <selection activeCell="E9" sqref="E9"/>
    </sheetView>
  </sheetViews>
  <sheetFormatPr baseColWidth="10" defaultRowHeight="15"/>
  <cols>
    <col min="1" max="1" width="3.28515625" style="194" customWidth="1"/>
    <col min="2" max="2" width="25" style="194" customWidth="1"/>
    <col min="3" max="4" width="16.42578125" style="194" bestFit="1" customWidth="1"/>
    <col min="5" max="5" width="32.7109375" style="194" customWidth="1"/>
    <col min="6" max="6" width="3.42578125" style="194" customWidth="1"/>
    <col min="7" max="8" width="11.42578125" style="194"/>
    <col min="9" max="9" width="19.85546875" style="194" customWidth="1"/>
    <col min="10" max="10" width="14.5703125" style="194" customWidth="1"/>
    <col min="11" max="11" width="18.42578125" style="194" bestFit="1" customWidth="1"/>
    <col min="12" max="16384" width="11.42578125" style="194"/>
  </cols>
  <sheetData>
    <row r="2" spans="2:19" ht="23.25">
      <c r="B2" s="208" t="s">
        <v>244</v>
      </c>
      <c r="C2" s="208"/>
      <c r="D2" s="208"/>
      <c r="E2" s="208"/>
      <c r="F2" s="215"/>
      <c r="I2" s="212" t="s">
        <v>208</v>
      </c>
      <c r="J2" s="189">
        <v>207.44</v>
      </c>
      <c r="K2" s="213" t="s">
        <v>245</v>
      </c>
      <c r="L2" s="214">
        <v>312.41000000000003</v>
      </c>
    </row>
    <row r="3" spans="2:19" ht="23.25">
      <c r="B3" s="208"/>
      <c r="C3" s="208"/>
      <c r="D3" s="208"/>
      <c r="E3" s="208"/>
      <c r="F3" s="215"/>
      <c r="I3" s="198" t="s">
        <v>207</v>
      </c>
      <c r="J3" s="199">
        <v>96.21</v>
      </c>
    </row>
    <row r="4" spans="2:19" ht="23.25">
      <c r="B4" s="208"/>
      <c r="C4" s="208"/>
      <c r="D4" s="208"/>
      <c r="E4" s="208"/>
      <c r="F4" s="215"/>
      <c r="I4" s="197" t="s">
        <v>209</v>
      </c>
      <c r="J4" s="197">
        <v>500</v>
      </c>
      <c r="K4" s="190"/>
    </row>
    <row r="5" spans="2:19">
      <c r="I5" s="199" t="s">
        <v>248</v>
      </c>
      <c r="J5" s="197">
        <f>J4/8</f>
        <v>62.5</v>
      </c>
      <c r="P5" s="191"/>
      <c r="Q5" s="191"/>
      <c r="R5" s="195"/>
      <c r="S5" s="195"/>
    </row>
    <row r="6" spans="2:19">
      <c r="P6" s="191"/>
      <c r="Q6" s="191"/>
      <c r="R6" s="195"/>
      <c r="S6" s="195"/>
    </row>
    <row r="7" spans="2:19">
      <c r="B7" s="235" t="s">
        <v>211</v>
      </c>
      <c r="C7" s="235" t="s">
        <v>212</v>
      </c>
      <c r="D7" s="236" t="s">
        <v>213</v>
      </c>
      <c r="E7" s="236"/>
      <c r="F7" s="216"/>
      <c r="G7" s="224" t="s">
        <v>249</v>
      </c>
      <c r="H7" s="224"/>
      <c r="I7" s="210" t="s">
        <v>214</v>
      </c>
      <c r="J7" s="210" t="s">
        <v>215</v>
      </c>
      <c r="K7" s="210" t="s">
        <v>191</v>
      </c>
      <c r="M7" s="207" t="s">
        <v>247</v>
      </c>
      <c r="N7" s="207"/>
      <c r="O7" s="207"/>
      <c r="P7" s="207"/>
      <c r="Q7" s="191"/>
    </row>
    <row r="8" spans="2:19">
      <c r="B8" s="199" t="s">
        <v>216</v>
      </c>
      <c r="C8" s="199" t="s">
        <v>217</v>
      </c>
      <c r="D8" s="199" t="s">
        <v>218</v>
      </c>
      <c r="E8" s="199" t="s">
        <v>219</v>
      </c>
      <c r="F8" s="217"/>
      <c r="G8" s="205" t="s">
        <v>253</v>
      </c>
      <c r="H8" s="206"/>
      <c r="I8" s="196">
        <f>500*15</f>
        <v>7500</v>
      </c>
      <c r="J8" s="211">
        <f>I8</f>
        <v>7500</v>
      </c>
      <c r="K8" s="199">
        <v>0</v>
      </c>
      <c r="M8" s="207"/>
      <c r="N8" s="207"/>
      <c r="O8" s="207"/>
      <c r="P8" s="207"/>
    </row>
    <row r="9" spans="2:19" ht="45">
      <c r="B9" s="201" t="s">
        <v>220</v>
      </c>
      <c r="C9" s="201" t="s">
        <v>217</v>
      </c>
      <c r="D9" s="201" t="s">
        <v>221</v>
      </c>
      <c r="E9" s="202" t="s">
        <v>246</v>
      </c>
      <c r="F9" s="218"/>
      <c r="G9" s="222" t="s">
        <v>250</v>
      </c>
      <c r="H9" s="222"/>
      <c r="I9" s="189">
        <f>J5*4*2</f>
        <v>500</v>
      </c>
      <c r="J9" s="197">
        <f>I9*50%</f>
        <v>250</v>
      </c>
      <c r="K9" s="197">
        <f>I9*50%</f>
        <v>250</v>
      </c>
      <c r="M9" s="207"/>
      <c r="N9" s="207"/>
      <c r="O9" s="207"/>
      <c r="P9" s="207"/>
      <c r="Q9" s="195"/>
    </row>
    <row r="10" spans="2:19">
      <c r="B10" s="199" t="s">
        <v>222</v>
      </c>
      <c r="C10" s="199" t="s">
        <v>217</v>
      </c>
      <c r="D10" s="199" t="s">
        <v>218</v>
      </c>
      <c r="E10" s="199"/>
      <c r="F10" s="217"/>
      <c r="G10" s="205" t="s">
        <v>252</v>
      </c>
      <c r="H10" s="206"/>
      <c r="I10" s="189">
        <v>1000</v>
      </c>
      <c r="J10" s="189">
        <v>1000</v>
      </c>
      <c r="K10" s="199">
        <v>0</v>
      </c>
    </row>
    <row r="11" spans="2:19" ht="33" customHeight="1">
      <c r="B11" s="199" t="s">
        <v>223</v>
      </c>
      <c r="C11" s="199" t="s">
        <v>217</v>
      </c>
      <c r="D11" s="199" t="s">
        <v>221</v>
      </c>
      <c r="E11" s="199" t="s">
        <v>224</v>
      </c>
      <c r="F11" s="219"/>
      <c r="G11" s="223" t="s">
        <v>251</v>
      </c>
      <c r="H11" s="223"/>
      <c r="I11" s="189">
        <f>J4*15</f>
        <v>7500</v>
      </c>
      <c r="J11" s="197">
        <f>I11-K11</f>
        <v>4613.7000000000007</v>
      </c>
      <c r="K11" s="189">
        <f>J3*30</f>
        <v>2886.2999999999997</v>
      </c>
    </row>
    <row r="12" spans="2:19">
      <c r="B12" s="199" t="s">
        <v>225</v>
      </c>
      <c r="C12" s="199" t="s">
        <v>217</v>
      </c>
      <c r="D12" s="199" t="s">
        <v>218</v>
      </c>
      <c r="E12" s="199"/>
      <c r="F12" s="217"/>
      <c r="G12" s="200" t="s">
        <v>254</v>
      </c>
      <c r="H12" s="200"/>
      <c r="I12" s="189">
        <f>J4*12</f>
        <v>6000</v>
      </c>
      <c r="J12" s="198">
        <v>6000</v>
      </c>
      <c r="K12" s="199">
        <v>0</v>
      </c>
    </row>
    <row r="13" spans="2:19">
      <c r="B13" s="199" t="s">
        <v>226</v>
      </c>
      <c r="C13" s="199" t="s">
        <v>217</v>
      </c>
      <c r="D13" s="199" t="s">
        <v>221</v>
      </c>
      <c r="E13" s="199" t="s">
        <v>227</v>
      </c>
      <c r="F13" s="217"/>
      <c r="G13" s="225">
        <v>0.25</v>
      </c>
      <c r="H13" s="225"/>
      <c r="I13" s="189">
        <f>I12*25%</f>
        <v>1500</v>
      </c>
      <c r="J13" s="197">
        <f>I13-K13</f>
        <v>56.850000000000136</v>
      </c>
      <c r="K13" s="199">
        <f>J3*15</f>
        <v>1443.1499999999999</v>
      </c>
    </row>
    <row r="14" spans="2:19">
      <c r="B14" s="199" t="s">
        <v>228</v>
      </c>
      <c r="C14" s="199" t="s">
        <v>217</v>
      </c>
      <c r="D14" s="199" t="s">
        <v>221</v>
      </c>
      <c r="E14" s="199" t="s">
        <v>229</v>
      </c>
      <c r="F14" s="217"/>
      <c r="G14" s="225">
        <v>0.25</v>
      </c>
      <c r="H14" s="225"/>
      <c r="I14" s="197">
        <f>J4*G14</f>
        <v>125</v>
      </c>
      <c r="J14" s="197">
        <f>I14-K14</f>
        <v>28.790000000000006</v>
      </c>
      <c r="K14" s="197">
        <f>J3</f>
        <v>96.21</v>
      </c>
    </row>
    <row r="15" spans="2:19">
      <c r="B15" s="209" t="s">
        <v>230</v>
      </c>
      <c r="C15" s="209" t="s">
        <v>217</v>
      </c>
      <c r="D15" s="209" t="s">
        <v>221</v>
      </c>
      <c r="E15" s="209" t="s">
        <v>231</v>
      </c>
      <c r="F15" s="217"/>
      <c r="G15" s="229" t="s">
        <v>255</v>
      </c>
      <c r="H15" s="229"/>
      <c r="I15" s="230">
        <v>50000</v>
      </c>
      <c r="J15" s="231">
        <f>I15-K15</f>
        <v>41341.1</v>
      </c>
      <c r="K15" s="232">
        <f>J3*90</f>
        <v>8658.9</v>
      </c>
    </row>
    <row r="16" spans="2:19">
      <c r="B16" s="209" t="s">
        <v>232</v>
      </c>
      <c r="C16" s="209" t="s">
        <v>217</v>
      </c>
      <c r="D16" s="209" t="s">
        <v>221</v>
      </c>
      <c r="E16" s="209" t="s">
        <v>231</v>
      </c>
      <c r="F16" s="217"/>
      <c r="G16" s="229"/>
      <c r="H16" s="229"/>
      <c r="I16" s="233"/>
      <c r="J16" s="233"/>
      <c r="K16" s="232"/>
    </row>
    <row r="17" spans="2:11">
      <c r="B17" s="209" t="s">
        <v>233</v>
      </c>
      <c r="C17" s="209" t="s">
        <v>217</v>
      </c>
      <c r="D17" s="209" t="s">
        <v>221</v>
      </c>
      <c r="E17" s="209" t="s">
        <v>231</v>
      </c>
      <c r="F17" s="217"/>
      <c r="G17" s="229"/>
      <c r="H17" s="229"/>
      <c r="I17" s="234"/>
      <c r="J17" s="234"/>
      <c r="K17" s="232"/>
    </row>
    <row r="18" spans="2:11">
      <c r="B18" s="199" t="s">
        <v>234</v>
      </c>
      <c r="C18" s="199" t="s">
        <v>217</v>
      </c>
      <c r="D18" s="199" t="s">
        <v>235</v>
      </c>
      <c r="E18" s="199" t="s">
        <v>236</v>
      </c>
      <c r="F18" s="217"/>
      <c r="G18" s="226" t="s">
        <v>256</v>
      </c>
      <c r="H18" s="226"/>
      <c r="I18" s="198"/>
      <c r="J18" s="199"/>
      <c r="K18" s="197"/>
    </row>
    <row r="19" spans="2:11" ht="15.75">
      <c r="B19" s="199" t="s">
        <v>237</v>
      </c>
      <c r="C19" s="199" t="s">
        <v>238</v>
      </c>
      <c r="D19" s="205" t="s">
        <v>191</v>
      </c>
      <c r="E19" s="206"/>
      <c r="F19" s="220"/>
      <c r="G19" s="227" t="s">
        <v>257</v>
      </c>
      <c r="H19" s="227"/>
      <c r="I19" s="199"/>
      <c r="J19" s="199"/>
      <c r="K19" s="199"/>
    </row>
    <row r="20" spans="2:11">
      <c r="B20" s="199" t="s">
        <v>239</v>
      </c>
      <c r="C20" s="199" t="s">
        <v>238</v>
      </c>
      <c r="D20" s="203" t="s">
        <v>240</v>
      </c>
      <c r="E20" s="203"/>
      <c r="F20" s="221"/>
      <c r="G20" s="204" t="s">
        <v>256</v>
      </c>
      <c r="H20" s="204"/>
      <c r="I20" s="199"/>
      <c r="J20" s="199"/>
      <c r="K20" s="199"/>
    </row>
    <row r="21" spans="2:11">
      <c r="B21" s="199" t="s">
        <v>241</v>
      </c>
      <c r="C21" s="199" t="s">
        <v>238</v>
      </c>
      <c r="D21" s="203"/>
      <c r="E21" s="203"/>
      <c r="F21" s="221"/>
      <c r="G21" s="228" t="s">
        <v>256</v>
      </c>
      <c r="H21" s="228"/>
      <c r="I21" s="199"/>
      <c r="J21" s="199"/>
      <c r="K21" s="199"/>
    </row>
    <row r="22" spans="2:11">
      <c r="B22" s="199" t="s">
        <v>242</v>
      </c>
      <c r="C22" s="199" t="s">
        <v>238</v>
      </c>
      <c r="D22" s="199" t="s">
        <v>243</v>
      </c>
      <c r="E22" s="199"/>
      <c r="F22" s="217"/>
      <c r="G22" s="204" t="s">
        <v>256</v>
      </c>
      <c r="H22" s="204"/>
      <c r="I22" s="199"/>
      <c r="J22" s="199"/>
      <c r="K22" s="199"/>
    </row>
    <row r="23" spans="2:11">
      <c r="I23" s="199"/>
      <c r="J23" s="199"/>
      <c r="K23" s="199"/>
    </row>
  </sheetData>
  <mergeCells count="22">
    <mergeCell ref="G18:H18"/>
    <mergeCell ref="G19:H19"/>
    <mergeCell ref="G20:H20"/>
    <mergeCell ref="G21:H21"/>
    <mergeCell ref="G22:H22"/>
    <mergeCell ref="B2:E4"/>
    <mergeCell ref="M7:P9"/>
    <mergeCell ref="G11:H11"/>
    <mergeCell ref="G7:H7"/>
    <mergeCell ref="G9:H9"/>
    <mergeCell ref="G8:H8"/>
    <mergeCell ref="G10:H10"/>
    <mergeCell ref="D7:E7"/>
    <mergeCell ref="I15:I17"/>
    <mergeCell ref="J15:J17"/>
    <mergeCell ref="K15:K17"/>
    <mergeCell ref="D20:E21"/>
    <mergeCell ref="D19:E19"/>
    <mergeCell ref="G12:H12"/>
    <mergeCell ref="G13:H13"/>
    <mergeCell ref="G14:H14"/>
    <mergeCell ref="G15:H1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Presentacion</vt:lpstr>
      <vt:lpstr>1</vt:lpstr>
      <vt:lpstr>2</vt:lpstr>
      <vt:lpstr>3</vt:lpstr>
      <vt:lpstr>4</vt:lpstr>
      <vt:lpstr>5</vt:lpstr>
      <vt:lpstr>6</vt:lpstr>
      <vt:lpstr>7</vt:lpstr>
      <vt:lpstr>EXENTOS </vt:lpstr>
      <vt:lpstr>SALARIOS </vt:lpstr>
      <vt:lpstr>NOMINA MASIVA </vt:lpstr>
      <vt:lpstr>COMPROBACION NOMINA </vt:lpstr>
      <vt:lpstr>ISR NOMINA MASIVA </vt:lpstr>
      <vt:lpstr>FONDO DE AHORRO</vt:lpstr>
      <vt:lpstr>VD</vt:lpstr>
      <vt:lpstr>RIF </vt:lpstr>
      <vt:lpstr>ACTIVIDAD EMPRESARIAL </vt:lpstr>
      <vt:lpstr>ARRENDAMIENTO </vt:lpstr>
      <vt:lpstr>RESICO</vt:lpstr>
      <vt:lpstr>PLATAFORMAS </vt:lpstr>
      <vt:lpstr>IVA</vt:lpstr>
      <vt:lpstr>ISR ANUAL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CPC Peter</dc:creator>
  <cp:lastModifiedBy>decoslipk@hotmail.com</cp:lastModifiedBy>
  <dcterms:created xsi:type="dcterms:W3CDTF">2022-12-27T06:49:40Z</dcterms:created>
  <dcterms:modified xsi:type="dcterms:W3CDTF">2022-12-28T06:42:56Z</dcterms:modified>
</cp:coreProperties>
</file>